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workbookPr/>
  <mc:AlternateContent xmlns:mc="http://schemas.openxmlformats.org/markup-compatibility/2006">
    <mc:Choice Requires="x15">
      <x15ac:absPath xmlns:x15ac="http://schemas.microsoft.com/office/spreadsheetml/2010/11/ac" url="C:\Users\User\Desktop\definitiv maria doiciu\"/>
    </mc:Choice>
  </mc:AlternateContent>
  <xr:revisionPtr revIDLastSave="0" documentId="13_ncr:1_{11751DA4-70D6-4810-86EA-11DD7A2B9BDC}" xr6:coauthVersionLast="43" xr6:coauthVersionMax="43" xr10:uidLastSave="{00000000-0000-0000-0000-000000000000}"/>
  <bookViews>
    <workbookView xWindow="-120" yWindow="-120" windowWidth="29040" windowHeight="15840" activeTab="1" xr2:uid="{00000000-000D-0000-FFFF-FFFF00000000}"/>
  </bookViews>
  <sheets>
    <sheet name="FN - diasp" sheetId="9" r:id="rId1"/>
    <sheet name="SCV - diasp" sheetId="8" r:id="rId2"/>
    <sheet name="Utiliz Sv" sheetId="11" r:id="rId3"/>
    <sheet name="an 1" sheetId="10" r:id="rId4"/>
    <sheet name="investitia" sheetId="5" r:id="rId5"/>
    <sheet name="venituri" sheetId="6" r:id="rId6"/>
    <sheet name="cheltuieli" sheetId="7" r:id="rId7"/>
  </sheets>
  <definedNames>
    <definedName name="_xlnm.Print_Area" localSheetId="3">'an 1'!$B$3:$P$115</definedName>
    <definedName name="_xlnm.Print_Area" localSheetId="6">cheltuieli!$A$3:$B$24</definedName>
    <definedName name="_xlnm.Print_Area" localSheetId="2">'Utiliz Sv'!$B$2:$F$75</definedName>
  </definedNames>
  <calcPr calcId="181029"/>
</workbook>
</file>

<file path=xl/calcChain.xml><?xml version="1.0" encoding="utf-8"?>
<calcChain xmlns="http://schemas.openxmlformats.org/spreadsheetml/2006/main">
  <c r="E26" i="11" l="1"/>
  <c r="D25" i="11"/>
  <c r="E25" i="11" s="1"/>
  <c r="D21" i="11"/>
  <c r="E21" i="11" s="1"/>
  <c r="D22" i="11"/>
  <c r="E22" i="11" s="1"/>
  <c r="D24" i="11"/>
  <c r="E24" i="11" s="1"/>
  <c r="D23" i="11"/>
  <c r="E23" i="11" s="1"/>
  <c r="E94" i="10"/>
  <c r="F94" i="10"/>
  <c r="G94" i="10"/>
  <c r="H94" i="10"/>
  <c r="I94" i="10"/>
  <c r="J94" i="10"/>
  <c r="K94" i="10"/>
  <c r="L94" i="10"/>
  <c r="M94" i="10"/>
  <c r="N94" i="10"/>
  <c r="O94" i="10"/>
  <c r="D94" i="10"/>
  <c r="E15" i="10"/>
  <c r="F6" i="10"/>
  <c r="G6" i="10"/>
  <c r="E6" i="10"/>
  <c r="E34" i="10"/>
  <c r="D34" i="10"/>
  <c r="P48" i="10"/>
  <c r="P49" i="10"/>
  <c r="P42" i="10"/>
  <c r="P43" i="10"/>
  <c r="P44" i="10"/>
  <c r="P45" i="10"/>
  <c r="P46" i="10"/>
  <c r="P47" i="10"/>
  <c r="P50" i="10"/>
  <c r="P51" i="10"/>
  <c r="P52" i="10"/>
  <c r="P53" i="10"/>
  <c r="P55" i="10"/>
  <c r="P56" i="10"/>
  <c r="P57" i="10"/>
  <c r="P58" i="10"/>
  <c r="P59" i="10"/>
  <c r="P60" i="10"/>
  <c r="P61" i="10"/>
  <c r="P62" i="10"/>
  <c r="P63" i="10"/>
  <c r="P64" i="10"/>
  <c r="P65" i="10"/>
  <c r="E40" i="10"/>
  <c r="E112" i="10" s="1"/>
  <c r="D40" i="10"/>
  <c r="P97" i="10"/>
  <c r="P41" i="10"/>
  <c r="H54" i="10"/>
  <c r="K54" i="10"/>
  <c r="L54" i="10" s="1"/>
  <c r="N54" i="10"/>
  <c r="O54" i="10" s="1"/>
  <c r="E5" i="10" l="1"/>
  <c r="I54" i="10"/>
  <c r="P54" i="10" s="1"/>
  <c r="C10" i="8"/>
  <c r="F28" i="11" l="1"/>
  <c r="E13" i="11"/>
  <c r="F13" i="11"/>
  <c r="C114" i="10"/>
  <c r="C111" i="10"/>
  <c r="C115" i="10" l="1"/>
  <c r="D109" i="10" s="1"/>
  <c r="D111" i="10" s="1"/>
  <c r="H17" i="10"/>
  <c r="I17" i="10" s="1"/>
  <c r="J17" i="10" s="1"/>
  <c r="K17" i="10" s="1"/>
  <c r="L17" i="10" s="1"/>
  <c r="M17" i="10" s="1"/>
  <c r="N17" i="10" s="1"/>
  <c r="O17" i="10" s="1"/>
  <c r="H8" i="10"/>
  <c r="F16" i="10"/>
  <c r="E6" i="6"/>
  <c r="O10" i="7"/>
  <c r="K10" i="7"/>
  <c r="P7" i="7"/>
  <c r="V14" i="7" s="1"/>
  <c r="O7" i="7"/>
  <c r="U14" i="7" s="1"/>
  <c r="I7" i="6"/>
  <c r="F8" i="6"/>
  <c r="F7" i="6"/>
  <c r="F6" i="6"/>
  <c r="G6" i="6" s="1"/>
  <c r="E8" i="6"/>
  <c r="E7" i="6"/>
  <c r="G16" i="10" l="1"/>
  <c r="F15" i="10"/>
  <c r="F5" i="10" s="1"/>
  <c r="I8" i="10"/>
  <c r="H6" i="10"/>
  <c r="P29" i="7"/>
  <c r="P30" i="7"/>
  <c r="P31" i="7"/>
  <c r="W8" i="6"/>
  <c r="V8" i="6"/>
  <c r="E22" i="10"/>
  <c r="F22" i="10"/>
  <c r="G22" i="10"/>
  <c r="H22" i="10"/>
  <c r="I22" i="10"/>
  <c r="J22" i="10"/>
  <c r="K22" i="10"/>
  <c r="L22" i="10"/>
  <c r="M22" i="10"/>
  <c r="N22" i="10"/>
  <c r="O22" i="10"/>
  <c r="D22" i="10"/>
  <c r="E25" i="10"/>
  <c r="F25" i="10"/>
  <c r="G25" i="10"/>
  <c r="H25" i="10"/>
  <c r="I25" i="10"/>
  <c r="J25" i="10"/>
  <c r="K25" i="10"/>
  <c r="L25" i="10"/>
  <c r="M25" i="10"/>
  <c r="N25" i="10"/>
  <c r="O25" i="10"/>
  <c r="D25" i="10"/>
  <c r="E28" i="10"/>
  <c r="F28" i="10"/>
  <c r="D28" i="10"/>
  <c r="E72" i="10"/>
  <c r="F72" i="10"/>
  <c r="G72" i="10"/>
  <c r="H72" i="10"/>
  <c r="I72" i="10"/>
  <c r="J72" i="10"/>
  <c r="K72" i="10"/>
  <c r="L72" i="10"/>
  <c r="M72" i="10"/>
  <c r="N72" i="10"/>
  <c r="O72" i="10"/>
  <c r="D72" i="10"/>
  <c r="E82" i="10"/>
  <c r="F82" i="10"/>
  <c r="G82" i="10"/>
  <c r="H82" i="10"/>
  <c r="I82" i="10"/>
  <c r="J82" i="10"/>
  <c r="K82" i="10"/>
  <c r="L82" i="10"/>
  <c r="M82" i="10"/>
  <c r="N82" i="10"/>
  <c r="O82" i="10"/>
  <c r="D82" i="10"/>
  <c r="E84" i="10"/>
  <c r="F84" i="10"/>
  <c r="G84" i="10"/>
  <c r="H84" i="10"/>
  <c r="I84" i="10"/>
  <c r="J84" i="10"/>
  <c r="K84" i="10"/>
  <c r="L84" i="10"/>
  <c r="M84" i="10"/>
  <c r="N84" i="10"/>
  <c r="O84" i="10"/>
  <c r="D84" i="10"/>
  <c r="E77" i="10"/>
  <c r="F77" i="10"/>
  <c r="G77" i="10"/>
  <c r="H77" i="10"/>
  <c r="I77" i="10"/>
  <c r="J77" i="10"/>
  <c r="K77" i="10"/>
  <c r="L77" i="10"/>
  <c r="M77" i="10"/>
  <c r="N77" i="10"/>
  <c r="O77" i="10"/>
  <c r="D77" i="10"/>
  <c r="E86" i="10"/>
  <c r="F86" i="10"/>
  <c r="G86" i="10"/>
  <c r="H86" i="10"/>
  <c r="I86" i="10"/>
  <c r="J86" i="10"/>
  <c r="K86" i="10"/>
  <c r="L86" i="10"/>
  <c r="M86" i="10"/>
  <c r="N86" i="10"/>
  <c r="O86" i="10"/>
  <c r="D86" i="10"/>
  <c r="E89" i="10"/>
  <c r="F89" i="10"/>
  <c r="G89" i="10"/>
  <c r="H89" i="10"/>
  <c r="I89" i="10"/>
  <c r="J89" i="10"/>
  <c r="K89" i="10"/>
  <c r="L89" i="10"/>
  <c r="M89" i="10"/>
  <c r="N89" i="10"/>
  <c r="O89" i="10"/>
  <c r="E92" i="10"/>
  <c r="F92" i="10"/>
  <c r="G92" i="10"/>
  <c r="H92" i="10"/>
  <c r="I92" i="10"/>
  <c r="J92" i="10"/>
  <c r="K92" i="10"/>
  <c r="L92" i="10"/>
  <c r="M92" i="10"/>
  <c r="N92" i="10"/>
  <c r="O92" i="10"/>
  <c r="D92" i="10"/>
  <c r="E100" i="10"/>
  <c r="F100" i="10"/>
  <c r="G100" i="10"/>
  <c r="H100" i="10"/>
  <c r="I100" i="10"/>
  <c r="J100" i="10"/>
  <c r="K100" i="10"/>
  <c r="L100" i="10"/>
  <c r="M100" i="10"/>
  <c r="N100" i="10"/>
  <c r="O100" i="10"/>
  <c r="D100" i="10"/>
  <c r="P18" i="10"/>
  <c r="P19" i="10"/>
  <c r="P20" i="10"/>
  <c r="P23" i="10"/>
  <c r="P24" i="10"/>
  <c r="P26" i="10"/>
  <c r="P27" i="10"/>
  <c r="P29" i="10"/>
  <c r="P30" i="10"/>
  <c r="P31" i="10"/>
  <c r="P33" i="10"/>
  <c r="P36" i="10"/>
  <c r="D15" i="11" s="1"/>
  <c r="P37" i="10"/>
  <c r="D16" i="11" s="1"/>
  <c r="E16" i="11" s="1"/>
  <c r="P38" i="10"/>
  <c r="P39" i="10"/>
  <c r="P68" i="10"/>
  <c r="P69" i="10"/>
  <c r="P70" i="10"/>
  <c r="P71" i="10"/>
  <c r="P73" i="10"/>
  <c r="P74" i="10"/>
  <c r="P75" i="10"/>
  <c r="P76" i="10"/>
  <c r="P78" i="10"/>
  <c r="P79" i="10"/>
  <c r="P81" i="10"/>
  <c r="P83" i="10"/>
  <c r="P85" i="10"/>
  <c r="P87" i="10"/>
  <c r="P90" i="10"/>
  <c r="P91" i="10"/>
  <c r="P93" i="10"/>
  <c r="P95" i="10"/>
  <c r="P96" i="10"/>
  <c r="P98" i="10"/>
  <c r="P99" i="10"/>
  <c r="P101" i="10"/>
  <c r="P102" i="10"/>
  <c r="P103" i="10"/>
  <c r="P104" i="10"/>
  <c r="E66" i="10"/>
  <c r="F66" i="10"/>
  <c r="H66" i="10"/>
  <c r="I66" i="10"/>
  <c r="J66" i="10"/>
  <c r="K66" i="10"/>
  <c r="L66" i="10"/>
  <c r="M66" i="10"/>
  <c r="N66" i="10"/>
  <c r="O66" i="10"/>
  <c r="D66" i="10"/>
  <c r="F40" i="10"/>
  <c r="F35" i="10"/>
  <c r="D12" i="10"/>
  <c r="P13" i="10"/>
  <c r="E14" i="10"/>
  <c r="E12" i="10" s="1"/>
  <c r="Q17" i="10"/>
  <c r="P17" i="10"/>
  <c r="Q1" i="10"/>
  <c r="Q2" i="10" s="1"/>
  <c r="I8" i="6"/>
  <c r="Q8" i="6" s="1"/>
  <c r="O8" i="7"/>
  <c r="P8" i="7" s="1"/>
  <c r="K8" i="7"/>
  <c r="L8" i="7"/>
  <c r="N8" i="7" s="1"/>
  <c r="M8" i="7"/>
  <c r="N6" i="6"/>
  <c r="D15" i="8"/>
  <c r="E17" i="9" s="1"/>
  <c r="E15" i="8"/>
  <c r="F17" i="9" s="1"/>
  <c r="C15" i="8"/>
  <c r="D17" i="9" s="1"/>
  <c r="P14" i="7"/>
  <c r="E14" i="8" s="1"/>
  <c r="F16" i="9" s="1"/>
  <c r="O14" i="7"/>
  <c r="D14" i="8" s="1"/>
  <c r="E16" i="9" s="1"/>
  <c r="P10" i="7"/>
  <c r="D11" i="8"/>
  <c r="P7" i="6"/>
  <c r="AB7" i="6" s="1"/>
  <c r="K20" i="7"/>
  <c r="P67" i="10" s="1"/>
  <c r="T7" i="7"/>
  <c r="T8" i="7" s="1"/>
  <c r="Q7" i="6"/>
  <c r="I6" i="6"/>
  <c r="Q6" i="6" s="1"/>
  <c r="H8" i="6"/>
  <c r="P8" i="6" s="1"/>
  <c r="H6" i="6"/>
  <c r="P6" i="6" s="1"/>
  <c r="N7" i="6"/>
  <c r="Z7" i="6" s="1"/>
  <c r="N8" i="6"/>
  <c r="Z8" i="6" s="1"/>
  <c r="M7" i="6"/>
  <c r="Y7" i="6" s="1"/>
  <c r="M8" i="6"/>
  <c r="Y8" i="6" s="1"/>
  <c r="M6" i="6"/>
  <c r="L7" i="6"/>
  <c r="X7" i="6" s="1"/>
  <c r="L8" i="6"/>
  <c r="L6" i="6"/>
  <c r="D24" i="8"/>
  <c r="E24" i="8"/>
  <c r="C24" i="8"/>
  <c r="H16" i="10" l="1"/>
  <c r="G15" i="10"/>
  <c r="G5" i="10" s="1"/>
  <c r="G35" i="10"/>
  <c r="F34" i="10"/>
  <c r="P86" i="10"/>
  <c r="J8" i="10"/>
  <c r="I6" i="10"/>
  <c r="P89" i="10"/>
  <c r="P84" i="10"/>
  <c r="P82" i="10"/>
  <c r="P72" i="10"/>
  <c r="P25" i="10"/>
  <c r="P22" i="10"/>
  <c r="F21" i="10"/>
  <c r="F105" i="10" s="1"/>
  <c r="F113" i="10" s="1"/>
  <c r="G66" i="10"/>
  <c r="P66" i="10" s="1"/>
  <c r="E21" i="10"/>
  <c r="E105" i="10" s="1"/>
  <c r="E113" i="10" s="1"/>
  <c r="P100" i="10"/>
  <c r="P77" i="10"/>
  <c r="D37" i="11" s="1"/>
  <c r="D21" i="10"/>
  <c r="P94" i="10"/>
  <c r="P28" i="10"/>
  <c r="L5" i="7"/>
  <c r="L6" i="7"/>
  <c r="X6" i="6"/>
  <c r="K5" i="7"/>
  <c r="K6" i="7"/>
  <c r="AB6" i="6"/>
  <c r="O6" i="7"/>
  <c r="O5" i="7"/>
  <c r="P5" i="7"/>
  <c r="P6" i="7"/>
  <c r="M5" i="7"/>
  <c r="M6" i="7"/>
  <c r="E11" i="8"/>
  <c r="AB8" i="6"/>
  <c r="X8" i="6"/>
  <c r="O8" i="6"/>
  <c r="Z6" i="6"/>
  <c r="Y6" i="6"/>
  <c r="P92" i="10"/>
  <c r="F14" i="10"/>
  <c r="G14" i="10" s="1"/>
  <c r="H14" i="10" s="1"/>
  <c r="I14" i="10" s="1"/>
  <c r="J14" i="10" s="1"/>
  <c r="K14" i="10" s="1"/>
  <c r="L14" i="10" s="1"/>
  <c r="M14" i="10" s="1"/>
  <c r="N14" i="10" s="1"/>
  <c r="O14" i="10" s="1"/>
  <c r="O12" i="10" s="1"/>
  <c r="Q10" i="6"/>
  <c r="P10" i="6"/>
  <c r="E10" i="8"/>
  <c r="D10" i="8"/>
  <c r="B29" i="7"/>
  <c r="B31" i="7"/>
  <c r="B30" i="7"/>
  <c r="D39" i="11" l="1"/>
  <c r="E37" i="11"/>
  <c r="D30" i="11"/>
  <c r="E30" i="11" s="1"/>
  <c r="F30" i="11" s="1"/>
  <c r="D31" i="11"/>
  <c r="E64" i="11"/>
  <c r="E66" i="11" s="1"/>
  <c r="D64" i="11"/>
  <c r="D66" i="11" s="1"/>
  <c r="P21" i="10"/>
  <c r="K8" i="10"/>
  <c r="J6" i="10"/>
  <c r="I16" i="10"/>
  <c r="H15" i="10"/>
  <c r="H5" i="10" s="1"/>
  <c r="D105" i="10"/>
  <c r="H35" i="10"/>
  <c r="G34" i="10"/>
  <c r="K12" i="10"/>
  <c r="M40" i="10"/>
  <c r="J40" i="10"/>
  <c r="E31" i="11"/>
  <c r="H12" i="10"/>
  <c r="E8" i="8"/>
  <c r="F12" i="9" s="1"/>
  <c r="D8" i="8"/>
  <c r="E12" i="9" s="1"/>
  <c r="G40" i="10"/>
  <c r="AA8" i="6"/>
  <c r="E5" i="8"/>
  <c r="E7" i="8" s="1"/>
  <c r="F6" i="9"/>
  <c r="F5" i="9" s="1"/>
  <c r="D5" i="8"/>
  <c r="D7" i="8" s="1"/>
  <c r="E6" i="9"/>
  <c r="E5" i="9" s="1"/>
  <c r="P14" i="10"/>
  <c r="L12" i="10"/>
  <c r="F12" i="10"/>
  <c r="I12" i="10"/>
  <c r="J12" i="10"/>
  <c r="G12" i="10"/>
  <c r="M12" i="10"/>
  <c r="N12" i="10"/>
  <c r="E11" i="5"/>
  <c r="G105" i="10" l="1"/>
  <c r="G113" i="10" s="1"/>
  <c r="G114" i="10" s="1"/>
  <c r="F37" i="11"/>
  <c r="F39" i="11" s="1"/>
  <c r="E39" i="11"/>
  <c r="D113" i="10"/>
  <c r="D114" i="10" s="1"/>
  <c r="D115" i="10" s="1"/>
  <c r="E109" i="10" s="1"/>
  <c r="E111" i="10" s="1"/>
  <c r="L8" i="10"/>
  <c r="K6" i="10"/>
  <c r="I35" i="10"/>
  <c r="H34" i="10"/>
  <c r="J16" i="10"/>
  <c r="I15" i="10"/>
  <c r="I5" i="10" s="1"/>
  <c r="I40" i="10"/>
  <c r="H40" i="10"/>
  <c r="F31" i="11"/>
  <c r="L40" i="10"/>
  <c r="K40" i="10"/>
  <c r="O40" i="10"/>
  <c r="N40" i="10"/>
  <c r="D25" i="8"/>
  <c r="D16" i="8"/>
  <c r="I21" i="8"/>
  <c r="E25" i="8"/>
  <c r="E16" i="8"/>
  <c r="J21" i="8"/>
  <c r="P12" i="10"/>
  <c r="E51" i="5"/>
  <c r="J14" i="7" s="1"/>
  <c r="E18" i="5"/>
  <c r="H105" i="10" l="1"/>
  <c r="H113" i="10" s="1"/>
  <c r="H114" i="10" s="1"/>
  <c r="J35" i="10"/>
  <c r="I34" i="10"/>
  <c r="I105" i="10" s="1"/>
  <c r="I113" i="10" s="1"/>
  <c r="K16" i="10"/>
  <c r="J15" i="10"/>
  <c r="J5" i="10" s="1"/>
  <c r="M8" i="10"/>
  <c r="L6" i="10"/>
  <c r="E50" i="5"/>
  <c r="C60" i="5" s="1"/>
  <c r="L20" i="7"/>
  <c r="E8" i="5"/>
  <c r="E9" i="5"/>
  <c r="E10" i="5"/>
  <c r="L6" i="5"/>
  <c r="E32" i="5"/>
  <c r="K6" i="6"/>
  <c r="W6" i="6" s="1"/>
  <c r="K7" i="6"/>
  <c r="E43" i="5"/>
  <c r="E25" i="5"/>
  <c r="L10" i="5" s="1"/>
  <c r="L12" i="5"/>
  <c r="L13" i="5"/>
  <c r="O13" i="5"/>
  <c r="P13" i="5" s="1"/>
  <c r="L7" i="5"/>
  <c r="S7" i="5" s="1"/>
  <c r="T7" i="5" s="1"/>
  <c r="M10" i="5"/>
  <c r="M12" i="5"/>
  <c r="E33" i="5"/>
  <c r="E34" i="5"/>
  <c r="E35" i="5"/>
  <c r="E36" i="5"/>
  <c r="E37" i="5"/>
  <c r="E44" i="5"/>
  <c r="E46" i="5"/>
  <c r="J7" i="7"/>
  <c r="J19" i="7"/>
  <c r="J1" i="7"/>
  <c r="K7" i="7"/>
  <c r="K14" i="7"/>
  <c r="K17" i="7"/>
  <c r="L7" i="7"/>
  <c r="L10" i="7"/>
  <c r="L14" i="7"/>
  <c r="L17" i="7"/>
  <c r="M7" i="7"/>
  <c r="M14" i="7"/>
  <c r="N14" i="7" s="1"/>
  <c r="V7" i="6"/>
  <c r="V6" i="6"/>
  <c r="L5" i="6"/>
  <c r="M5" i="6"/>
  <c r="N5" i="6"/>
  <c r="K5" i="6"/>
  <c r="M15" i="5"/>
  <c r="B60" i="5"/>
  <c r="B59" i="5"/>
  <c r="B58" i="5"/>
  <c r="B57" i="5"/>
  <c r="B56" i="5"/>
  <c r="K13" i="5"/>
  <c r="K12" i="5"/>
  <c r="K10" i="5"/>
  <c r="K9" i="5"/>
  <c r="K7" i="5"/>
  <c r="K6" i="5"/>
  <c r="K5" i="5"/>
  <c r="D12" i="5"/>
  <c r="D5" i="5"/>
  <c r="N17" i="7" l="1"/>
  <c r="D16" i="9" s="1"/>
  <c r="N8" i="10"/>
  <c r="M6" i="10"/>
  <c r="L16" i="10"/>
  <c r="K15" i="10"/>
  <c r="K5" i="10" s="1"/>
  <c r="K35" i="10"/>
  <c r="J34" i="10"/>
  <c r="J105" i="10" s="1"/>
  <c r="J113" i="10" s="1"/>
  <c r="Q13" i="5"/>
  <c r="S13" i="5" s="1"/>
  <c r="R13" i="5"/>
  <c r="S10" i="5"/>
  <c r="O7" i="6"/>
  <c r="AA7" i="6" s="1"/>
  <c r="W7" i="6"/>
  <c r="P12" i="5"/>
  <c r="Q12" i="5" s="1"/>
  <c r="S12" i="5" s="1"/>
  <c r="T12" i="5" s="1"/>
  <c r="S6" i="5"/>
  <c r="T6" i="5" s="1"/>
  <c r="M10" i="7"/>
  <c r="N10" i="7"/>
  <c r="E5" i="5"/>
  <c r="L5" i="5" s="1"/>
  <c r="S5" i="5" s="1"/>
  <c r="N7" i="7"/>
  <c r="O10" i="5"/>
  <c r="L14" i="5"/>
  <c r="N10" i="5"/>
  <c r="E29" i="5"/>
  <c r="C57" i="5" s="1"/>
  <c r="E39" i="5"/>
  <c r="O6" i="6"/>
  <c r="L10" i="6"/>
  <c r="M10" i="6"/>
  <c r="N10" i="6"/>
  <c r="K10" i="6"/>
  <c r="J5" i="7" s="1"/>
  <c r="N6" i="5"/>
  <c r="N8" i="5" s="1"/>
  <c r="O6" i="5"/>
  <c r="P6" i="5" s="1"/>
  <c r="Q6" i="5" s="1"/>
  <c r="M20" i="7"/>
  <c r="O20" i="7" s="1"/>
  <c r="O7" i="5"/>
  <c r="N20" i="7" l="1"/>
  <c r="M16" i="10"/>
  <c r="L15" i="10"/>
  <c r="L5" i="10" s="1"/>
  <c r="L35" i="10"/>
  <c r="K34" i="10"/>
  <c r="K105" i="10" s="1"/>
  <c r="K113" i="10" s="1"/>
  <c r="O8" i="10"/>
  <c r="N6" i="10"/>
  <c r="R6" i="5"/>
  <c r="T14" i="7"/>
  <c r="C59" i="5"/>
  <c r="C58" i="5"/>
  <c r="AA6" i="6"/>
  <c r="N6" i="7"/>
  <c r="N5" i="7"/>
  <c r="R12" i="5"/>
  <c r="C11" i="8"/>
  <c r="J114" i="10"/>
  <c r="Q11" i="6"/>
  <c r="P11" i="6"/>
  <c r="O14" i="5"/>
  <c r="P10" i="5"/>
  <c r="N14" i="5"/>
  <c r="N15" i="5" s="1"/>
  <c r="E21" i="5"/>
  <c r="C56" i="5" s="1"/>
  <c r="L11" i="6"/>
  <c r="N11" i="6"/>
  <c r="O10" i="6"/>
  <c r="M11" i="6"/>
  <c r="J6" i="7"/>
  <c r="K11" i="6"/>
  <c r="P7" i="5"/>
  <c r="Q7" i="5" s="1"/>
  <c r="J23" i="7"/>
  <c r="L8" i="5"/>
  <c r="L15" i="5" s="1"/>
  <c r="O5" i="5"/>
  <c r="O8" i="5" s="1"/>
  <c r="M35" i="10" l="1"/>
  <c r="L34" i="10"/>
  <c r="L105" i="10" s="1"/>
  <c r="L113" i="10" s="1"/>
  <c r="O6" i="10"/>
  <c r="Q8" i="10"/>
  <c r="P8" i="10"/>
  <c r="N16" i="10"/>
  <c r="M15" i="10"/>
  <c r="M5" i="10" s="1"/>
  <c r="D28" i="11"/>
  <c r="C8" i="8"/>
  <c r="D12" i="9" s="1"/>
  <c r="C5" i="8"/>
  <c r="C7" i="8" s="1"/>
  <c r="D6" i="9"/>
  <c r="D10" i="9" s="1"/>
  <c r="C61" i="5"/>
  <c r="D56" i="5" s="1"/>
  <c r="K114" i="10"/>
  <c r="E13" i="8"/>
  <c r="F15" i="9" s="1"/>
  <c r="D13" i="8"/>
  <c r="E15" i="9" s="1"/>
  <c r="M12" i="7"/>
  <c r="R11" i="6"/>
  <c r="O11" i="6"/>
  <c r="O14" i="6"/>
  <c r="O15" i="6"/>
  <c r="O16" i="6"/>
  <c r="R7" i="6"/>
  <c r="R6" i="6"/>
  <c r="O13" i="6"/>
  <c r="J22" i="7"/>
  <c r="O15" i="5"/>
  <c r="K22" i="7" s="1"/>
  <c r="P14" i="5"/>
  <c r="Q10" i="5"/>
  <c r="P5" i="5"/>
  <c r="P8" i="5" s="1"/>
  <c r="P15" i="5" s="1"/>
  <c r="K12" i="7"/>
  <c r="O12" i="7"/>
  <c r="N29" i="7" s="1"/>
  <c r="D37" i="7" s="1"/>
  <c r="C13" i="8"/>
  <c r="D15" i="9" s="1"/>
  <c r="L12" i="7"/>
  <c r="P12" i="7"/>
  <c r="O29" i="7" s="1"/>
  <c r="E37" i="7" s="1"/>
  <c r="J12" i="7"/>
  <c r="P20" i="7"/>
  <c r="R7" i="5"/>
  <c r="S8" i="5"/>
  <c r="T5" i="5"/>
  <c r="T8" i="5" s="1"/>
  <c r="O16" i="10" l="1"/>
  <c r="P16" i="10" s="1"/>
  <c r="N15" i="10"/>
  <c r="N5" i="10" s="1"/>
  <c r="N35" i="10"/>
  <c r="M34" i="10"/>
  <c r="M105" i="10" s="1"/>
  <c r="M113" i="10" s="1"/>
  <c r="Q20" i="7"/>
  <c r="P40" i="10"/>
  <c r="E28" i="11"/>
  <c r="C25" i="8"/>
  <c r="H21" i="8"/>
  <c r="C16" i="8"/>
  <c r="J24" i="7"/>
  <c r="J25" i="7" s="1"/>
  <c r="F114" i="10"/>
  <c r="D57" i="5"/>
  <c r="D60" i="5"/>
  <c r="D58" i="5"/>
  <c r="K24" i="7"/>
  <c r="K25" i="7" s="1"/>
  <c r="C68" i="5"/>
  <c r="Q14" i="5"/>
  <c r="R10" i="5"/>
  <c r="R14" i="5" s="1"/>
  <c r="Q5" i="5"/>
  <c r="Q8" i="5" s="1"/>
  <c r="Q15" i="5" s="1"/>
  <c r="N12" i="7"/>
  <c r="M29" i="7" s="1"/>
  <c r="C37" i="7" s="1"/>
  <c r="L22" i="7"/>
  <c r="O35" i="10" l="1"/>
  <c r="O34" i="10" s="1"/>
  <c r="N34" i="10"/>
  <c r="N105" i="10" s="1"/>
  <c r="N113" i="10" s="1"/>
  <c r="O15" i="10"/>
  <c r="Q16" i="10"/>
  <c r="E114" i="10"/>
  <c r="I114" i="10"/>
  <c r="C69" i="5"/>
  <c r="D69" i="5" s="1"/>
  <c r="D68" i="5"/>
  <c r="L24" i="7"/>
  <c r="L25" i="7" s="1"/>
  <c r="L114" i="10"/>
  <c r="M114" i="10"/>
  <c r="S14" i="5"/>
  <c r="S15" i="5" s="1"/>
  <c r="T10" i="5"/>
  <c r="T14" i="5" s="1"/>
  <c r="T15" i="5" s="1"/>
  <c r="R5" i="5"/>
  <c r="R8" i="5" s="1"/>
  <c r="R15" i="5" s="1"/>
  <c r="N22" i="7" s="1"/>
  <c r="M22" i="7"/>
  <c r="P15" i="10" l="1"/>
  <c r="O5" i="10"/>
  <c r="O105" i="10" s="1"/>
  <c r="O113" i="10" s="1"/>
  <c r="E115" i="10"/>
  <c r="F109" i="10" s="1"/>
  <c r="F111" i="10" s="1"/>
  <c r="F115" i="10" s="1"/>
  <c r="G109" i="10" s="1"/>
  <c r="G111" i="10" s="1"/>
  <c r="P34" i="10"/>
  <c r="D18" i="11" s="1"/>
  <c r="D19" i="11" s="1"/>
  <c r="P35" i="10"/>
  <c r="M24" i="7"/>
  <c r="M25" i="7" s="1"/>
  <c r="N24" i="7"/>
  <c r="N114" i="10"/>
  <c r="P22" i="7"/>
  <c r="O22" i="7"/>
  <c r="E18" i="11" l="1"/>
  <c r="Q15" i="10"/>
  <c r="D6" i="11"/>
  <c r="F18" i="11"/>
  <c r="F19" i="11" s="1"/>
  <c r="E19" i="11"/>
  <c r="G115" i="10"/>
  <c r="H109" i="10" s="1"/>
  <c r="H111" i="10" s="1"/>
  <c r="P88" i="10"/>
  <c r="D53" i="11" s="1"/>
  <c r="M30" i="7"/>
  <c r="C38" i="7" s="1"/>
  <c r="N25" i="7"/>
  <c r="O24" i="7"/>
  <c r="N30" i="7" s="1"/>
  <c r="D38" i="7" s="1"/>
  <c r="D17" i="8"/>
  <c r="P24" i="7"/>
  <c r="O30" i="7" s="1"/>
  <c r="E38" i="7" s="1"/>
  <c r="E17" i="8"/>
  <c r="D29" i="9"/>
  <c r="D30" i="9" s="1"/>
  <c r="D31" i="9" s="1"/>
  <c r="E4" i="9" s="1"/>
  <c r="E10" i="9" s="1"/>
  <c r="C18" i="8"/>
  <c r="Q7" i="10"/>
  <c r="Q5" i="10" s="1"/>
  <c r="P7" i="10"/>
  <c r="E6" i="11" l="1"/>
  <c r="F6" i="11" s="1"/>
  <c r="H115" i="10"/>
  <c r="I109" i="10" s="1"/>
  <c r="I111" i="10" s="1"/>
  <c r="I115" i="10" s="1"/>
  <c r="J109" i="10" s="1"/>
  <c r="J111" i="10" s="1"/>
  <c r="D54" i="11"/>
  <c r="P25" i="7"/>
  <c r="O31" i="7" s="1"/>
  <c r="E39" i="7" s="1"/>
  <c r="E19" i="9"/>
  <c r="E11" i="9" s="1"/>
  <c r="E29" i="9" s="1"/>
  <c r="E30" i="9" s="1"/>
  <c r="E31" i="9" s="1"/>
  <c r="F4" i="9" s="1"/>
  <c r="F10" i="9" s="1"/>
  <c r="D18" i="8"/>
  <c r="H22" i="8"/>
  <c r="H23" i="8" s="1"/>
  <c r="H26" i="8" s="1"/>
  <c r="C20" i="8"/>
  <c r="C26" i="8"/>
  <c r="C28" i="8" s="1"/>
  <c r="F19" i="9"/>
  <c r="F11" i="9" s="1"/>
  <c r="F29" i="9" s="1"/>
  <c r="F30" i="9" s="1"/>
  <c r="E18" i="8"/>
  <c r="M31" i="7"/>
  <c r="C39" i="7" s="1"/>
  <c r="O25" i="7"/>
  <c r="N31" i="7" s="1"/>
  <c r="D39" i="7" s="1"/>
  <c r="P6" i="10"/>
  <c r="P5" i="10" l="1"/>
  <c r="P105" i="10" s="1"/>
  <c r="D4" i="11"/>
  <c r="J115" i="10"/>
  <c r="K109" i="10" s="1"/>
  <c r="K111" i="10" s="1"/>
  <c r="Q6" i="10"/>
  <c r="F31" i="9"/>
  <c r="R25" i="7"/>
  <c r="J22" i="8"/>
  <c r="J23" i="8" s="1"/>
  <c r="J26" i="8" s="1"/>
  <c r="E26" i="8"/>
  <c r="E28" i="8" s="1"/>
  <c r="E20" i="8"/>
  <c r="I22" i="8"/>
  <c r="I23" i="8" s="1"/>
  <c r="I26" i="8" s="1"/>
  <c r="D26" i="8"/>
  <c r="D28" i="8" s="1"/>
  <c r="D20" i="8"/>
  <c r="E4" i="11" l="1"/>
  <c r="F4" i="11" s="1"/>
  <c r="K115" i="10"/>
  <c r="L109" i="10" s="1"/>
  <c r="L111" i="10" s="1"/>
  <c r="O114" i="10"/>
  <c r="D7" i="11"/>
  <c r="D74" i="11" s="1"/>
  <c r="Q3" i="10"/>
  <c r="L115" i="10" l="1"/>
  <c r="M109" i="10" s="1"/>
  <c r="M111" i="10" s="1"/>
  <c r="E7" i="11"/>
  <c r="F7" i="11"/>
  <c r="F74" i="11" l="1"/>
  <c r="E74" i="11"/>
  <c r="E76" i="11" s="1"/>
  <c r="M115" i="10"/>
  <c r="N109" i="10" s="1"/>
  <c r="N111" i="10" s="1"/>
  <c r="N115" i="10" s="1"/>
  <c r="O109" i="10" s="1"/>
  <c r="O111" i="10" s="1"/>
  <c r="O115" i="10" s="1"/>
  <c r="I74" i="11" l="1"/>
  <c r="F76" i="11"/>
  <c r="H74" i="11"/>
</calcChain>
</file>

<file path=xl/sharedStrings.xml><?xml version="1.0" encoding="utf-8"?>
<sst xmlns="http://schemas.openxmlformats.org/spreadsheetml/2006/main" count="538" uniqueCount="479">
  <si>
    <t>TOTAL CHELTUIELI</t>
  </si>
  <si>
    <t>Luna 1</t>
  </si>
  <si>
    <t>Luna 2</t>
  </si>
  <si>
    <t>Luna 3</t>
  </si>
  <si>
    <t>Luna 4</t>
  </si>
  <si>
    <t>Luna 5</t>
  </si>
  <si>
    <t>Luna 6</t>
  </si>
  <si>
    <t>Luna 7</t>
  </si>
  <si>
    <t>Luna 8</t>
  </si>
  <si>
    <t>Luna 9</t>
  </si>
  <si>
    <t>Luna 10</t>
  </si>
  <si>
    <t>Luna 11</t>
  </si>
  <si>
    <t>Luna 12</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</si>
  <si>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</si>
  <si>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</si>
  <si>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</si>
  <si>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</si>
  <si>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</si>
  <si>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</si>
  <si>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</si>
  <si>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</si>
  <si>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</si>
  <si>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</si>
  <si>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</si>
  <si>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</si>
  <si>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</si>
  <si>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</si>
  <si>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</si>
  <si>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</si>
  <si>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</si>
  <si>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2</t>
  </si>
  <si>
    <t>2.4 Taxe şi asigurări de călătorie și asigurări medicale aferente deplasării</t>
  </si>
  <si>
    <t>3. Cheltuieli aferente diverselor achiziţii de servicii specializate, pentru care beneficiarul ajutorului de minimis nu are expertiza necesară</t>
  </si>
  <si>
    <t>Servicii specializate contabilitatea</t>
  </si>
  <si>
    <t>Servicii specializate juridic</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</si>
  <si>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</si>
  <si>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</si>
  <si>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</si>
  <si>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</si>
  <si>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</si>
  <si>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</si>
  <si>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</si>
  <si>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</si>
  <si>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</si>
  <si>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</si>
  <si>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imobile</t>
  </si>
  <si>
    <t>7. Utilităţi aferente funcţionării întreprinderilor</t>
  </si>
  <si>
    <t>Energie electrica</t>
  </si>
  <si>
    <t>Gaze</t>
  </si>
  <si>
    <t>Apa/canalizare</t>
  </si>
  <si>
    <t>Internet + telefonie</t>
  </si>
  <si>
    <t>8. Servicii de administrare a clădirilor aferente funcţionării întreprinderilor</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</si>
  <si>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</si>
  <si>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</si>
  <si>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</si>
  <si>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</si>
  <si>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</si>
  <si>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</si>
  <si>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</si>
  <si>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Cheltuieli juridice (notariale aferente functionarii</t>
  </si>
  <si>
    <t>13. Conectare la reţele informatice aferente funcţionării întreprinderilor</t>
  </si>
  <si>
    <t>Cheltuieli conectare retele informatice</t>
  </si>
  <si>
    <t>14. Cheltuieli de informare şi publicitate aferente funcţionării întreprinderilor</t>
  </si>
  <si>
    <t>Cheltuieli cercetare de piata</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</si>
  <si>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</si>
  <si>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</si>
  <si>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</si>
  <si>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</si>
  <si>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</si>
  <si>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</si>
  <si>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 xml:space="preserve">Se completeaza in LEI FARA ZECIMALE </t>
  </si>
  <si>
    <t>Investitia amortizabila (descriere detaliata)</t>
  </si>
  <si>
    <t>Nr. Unitati</t>
  </si>
  <si>
    <t>Valoare  Totala (lei)</t>
  </si>
  <si>
    <t>Perioada de amortizare (ani)</t>
  </si>
  <si>
    <t>Valoare (lei)</t>
  </si>
  <si>
    <t>Pret Unitar (Lei)</t>
  </si>
  <si>
    <t>casa de marcat</t>
  </si>
  <si>
    <t>Valoare unitara (lei)</t>
  </si>
  <si>
    <t>Valoare totala (lei)</t>
  </si>
  <si>
    <t>Cheltuieli anterioare productiei - total</t>
  </si>
  <si>
    <t>Cheltuieli de securizare spatiu de lucru ( Sistem de supraveghere si antiefractie)</t>
  </si>
  <si>
    <t>% din total investitie</t>
  </si>
  <si>
    <t>Total Valoare Investitie si Ch. Anterioare Productiei</t>
  </si>
  <si>
    <t>%</t>
  </si>
  <si>
    <t>1.  Necesarul de Finantare ( Valoarea investitiei), din care</t>
  </si>
  <si>
    <r>
      <t>1.1.</t>
    </r>
    <r>
      <rPr>
        <sz val="7"/>
        <color rgb="FF000000"/>
        <rFont val="Times New Roman"/>
        <family val="1"/>
      </rPr>
      <t xml:space="preserve">              </t>
    </r>
    <r>
      <rPr>
        <sz val="11"/>
        <color rgb="FF000000"/>
        <rFont val="Arial Narrow"/>
        <family val="2"/>
      </rPr>
      <t>Valoarea subvenției solicitate ( transa I si II)</t>
    </r>
  </si>
  <si>
    <r>
      <t>1.2.</t>
    </r>
    <r>
      <rPr>
        <sz val="7"/>
        <color rgb="FF000000"/>
        <rFont val="Times New Roman"/>
        <family val="1"/>
      </rPr>
      <t xml:space="preserve">              </t>
    </r>
    <r>
      <rPr>
        <sz val="11"/>
        <color rgb="FF000000"/>
        <rFont val="Arial Narrow"/>
        <family val="2"/>
      </rPr>
      <t xml:space="preserve">Contribuție proprie (din surse proprii și atrase) </t>
    </r>
    <r>
      <rPr>
        <i/>
        <sz val="11"/>
        <color rgb="FF000000"/>
        <rFont val="Arial Narrow"/>
        <family val="2"/>
      </rPr>
      <t>(opțional)</t>
    </r>
  </si>
  <si>
    <r>
      <t>2.</t>
    </r>
    <r>
      <rPr>
        <b/>
        <sz val="7"/>
        <color rgb="FF000000"/>
        <rFont val="Times New Roman"/>
        <family val="1"/>
      </rPr>
      <t xml:space="preserve">        </t>
    </r>
    <r>
      <rPr>
        <b/>
        <sz val="11"/>
        <color rgb="FF000000"/>
        <rFont val="Arial Narrow"/>
        <family val="2"/>
      </rPr>
      <t>Destinația fondurilor</t>
    </r>
  </si>
  <si>
    <r>
      <t>2.1.</t>
    </r>
    <r>
      <rPr>
        <sz val="7"/>
        <color rgb="FF000000"/>
        <rFont val="Times New Roman"/>
        <family val="1"/>
      </rPr>
      <t xml:space="preserve">              </t>
    </r>
    <r>
      <rPr>
        <sz val="11"/>
        <color rgb="FF000000"/>
        <rFont val="Arial Narrow"/>
        <family val="2"/>
      </rPr>
      <t xml:space="preserve">Investiții  și cheltuieli anterioare producției </t>
    </r>
    <r>
      <rPr>
        <i/>
        <sz val="11"/>
        <color rgb="FF000000"/>
        <rFont val="Arial Narrow"/>
        <family val="2"/>
      </rPr>
      <t>(autorizatii, avize, inregistrare firma)</t>
    </r>
  </si>
  <si>
    <r>
      <t>2.2.</t>
    </r>
    <r>
      <rPr>
        <sz val="7"/>
        <color rgb="FF000000"/>
        <rFont val="Times New Roman"/>
        <family val="1"/>
      </rPr>
      <t xml:space="preserve">              </t>
    </r>
    <r>
      <rPr>
        <sz val="11"/>
        <color rgb="FF000000"/>
        <rFont val="Arial Narrow"/>
        <family val="2"/>
      </rPr>
      <t>Cheltuieli operaționale în primele 12 luni</t>
    </r>
  </si>
  <si>
    <t>Total</t>
  </si>
  <si>
    <t>Pret unitar (Lei) Inclusiv TVA</t>
  </si>
  <si>
    <t>Valoare Totala (lei)</t>
  </si>
  <si>
    <t>Perioada de amortizare(ani)</t>
  </si>
  <si>
    <t>Cheltuieli cu amortizarea mijloacelor fixe aferente investitiei</t>
  </si>
  <si>
    <t>Total Amorizare Active corporale</t>
  </si>
  <si>
    <t>Total Cheltuieli de amortizare Active  Necorporale</t>
  </si>
  <si>
    <t>Anul I Trim 1</t>
  </si>
  <si>
    <t>Anul I Trim 2</t>
  </si>
  <si>
    <t>Anul I Trim 3</t>
  </si>
  <si>
    <t>Anul I Trim 4</t>
  </si>
  <si>
    <t>Total Anul 1</t>
  </si>
  <si>
    <t>Anul II - Trim 1</t>
  </si>
  <si>
    <t>Anul II - Trim 2</t>
  </si>
  <si>
    <t>I. Investitia - Active  corporale</t>
  </si>
  <si>
    <t>I.Active corporale cu valoare unitara mai mare de 2500 lei ( TVA inclus)</t>
  </si>
  <si>
    <t xml:space="preserve">I. 1. Masini si echipamente de Productie/ Prestari servicii </t>
  </si>
  <si>
    <t xml:space="preserve">I.2. Echipamente IT </t>
  </si>
  <si>
    <t xml:space="preserve">I. 3. Mobilier </t>
  </si>
  <si>
    <t>II. Investitia - Active  necorporale cu valoare unitara mai mare de 2500 lei ( TVA inclus)</t>
  </si>
  <si>
    <t>II.1.Programe de calculator</t>
  </si>
  <si>
    <t>II.2. Marci brevete</t>
  </si>
  <si>
    <t>II.3 Alte active necorporale</t>
  </si>
  <si>
    <t>II. Investitia - Active  necorporale</t>
  </si>
  <si>
    <t>Total Cheltuieli cu amortizare active</t>
  </si>
  <si>
    <t xml:space="preserve">III. Obiecte de inventar ( valoare achizitie &lt;2500 lei TVA inclus) </t>
  </si>
  <si>
    <t>Total Cheltuieli cu  obiectele de inventar</t>
  </si>
  <si>
    <t>Total investitie in active corporale amortizabila</t>
  </si>
  <si>
    <t xml:space="preserve">Total investitie in active necorporale amortizabila </t>
  </si>
  <si>
    <t>IV. Amanenajari spatii de Productie /Prestari servicii/Comert</t>
  </si>
  <si>
    <t>V. Cheltuieli anterioare productiei</t>
  </si>
  <si>
    <t>Structura Investitiei</t>
  </si>
  <si>
    <t xml:space="preserve"> Planul de  finantare al investitiei</t>
  </si>
  <si>
    <t>Cantitate ( nr. unitati produs/serviciu)</t>
  </si>
  <si>
    <t>an 1</t>
  </si>
  <si>
    <t xml:space="preserve">       Total cifra de afaceri ( lei)</t>
  </si>
  <si>
    <t>NA</t>
  </si>
  <si>
    <r>
      <t xml:space="preserve"> </t>
    </r>
    <r>
      <rPr>
        <b/>
        <sz val="11"/>
        <color theme="1"/>
        <rFont val="Arial Narrow"/>
        <family val="2"/>
      </rPr>
      <t xml:space="preserve">Cheltuieli de producţie directe </t>
    </r>
  </si>
  <si>
    <t>Cantitate/ Nr. Salariati</t>
  </si>
  <si>
    <t>tr 1</t>
  </si>
  <si>
    <t>tr 2</t>
  </si>
  <si>
    <t xml:space="preserve">Subansamble/piese de schimb  </t>
  </si>
  <si>
    <t xml:space="preserve">Alte cheltuieli directe(detaliaţi) </t>
  </si>
  <si>
    <t>Total cheltuieli directe</t>
  </si>
  <si>
    <t>Cheltuieli de producţie indirecte</t>
  </si>
  <si>
    <t xml:space="preserve">Total cheltuieli indirecte </t>
  </si>
  <si>
    <t>Total cifra de afaceri ( Euro)                                                                                                                                                                         Rata de schimb 4.66 lei/euro</t>
  </si>
  <si>
    <t>an 1 trim 1</t>
  </si>
  <si>
    <t>an 1 trim 2</t>
  </si>
  <si>
    <t>an 1 trim 3</t>
  </si>
  <si>
    <t>an 1 trim 4</t>
  </si>
  <si>
    <t>an 2</t>
  </si>
  <si>
    <t>An 1</t>
  </si>
  <si>
    <t>Valoarea  vanzarilor/ produs/serviciu/an ca procent din volumul maxim al vanzarilor estimat pe an</t>
  </si>
  <si>
    <t xml:space="preserve"> ESTIMAREA VENITURILOR</t>
  </si>
  <si>
    <t>Cheltuieli de exploatare anuale (operaţionale)</t>
  </si>
  <si>
    <t>A1tr1</t>
  </si>
  <si>
    <t>A1tr2</t>
  </si>
  <si>
    <t>A1tr3</t>
  </si>
  <si>
    <t>A1tr4</t>
  </si>
  <si>
    <t>A2tr1</t>
  </si>
  <si>
    <t>A2tr2</t>
  </si>
  <si>
    <t>PU (lei)</t>
  </si>
  <si>
    <t>tr 3</t>
  </si>
  <si>
    <t>tr 4</t>
  </si>
  <si>
    <t>An2</t>
  </si>
  <si>
    <t>An 1 Total</t>
  </si>
  <si>
    <t>A1 tr1</t>
  </si>
  <si>
    <t>A1 tr2</t>
  </si>
  <si>
    <t>A1 tr3</t>
  </si>
  <si>
    <t>A1 tr4</t>
  </si>
  <si>
    <t>Cheltuieli de leasing fara achizitie</t>
  </si>
  <si>
    <t>Total           an 1</t>
  </si>
  <si>
    <r>
      <t>Alte cheltuieli indirecte</t>
    </r>
    <r>
      <rPr>
        <i/>
        <sz val="11"/>
        <color theme="1"/>
        <rFont val="Arial Narrow"/>
        <family val="2"/>
      </rPr>
      <t xml:space="preserve">(detaliaţi) - amortizare investitie </t>
    </r>
  </si>
  <si>
    <t>x</t>
  </si>
  <si>
    <t>amenajare birou si vestiar</t>
  </si>
  <si>
    <r>
      <t>Alte cheltuieli indirecte</t>
    </r>
    <r>
      <rPr>
        <i/>
        <sz val="11"/>
        <color theme="1"/>
        <rFont val="Arial Narrow"/>
        <family val="2"/>
      </rPr>
      <t>(detaliaţi) -  si cheltuieli cu ob. Inventar, securizarea si amenajarea spatiilor de productie/prestari servicii</t>
    </r>
  </si>
  <si>
    <t>amenajare depozit materii prime si materiale</t>
  </si>
  <si>
    <t>Valoare Vanzari  - Produs( lei/sortiment)/ perioada</t>
  </si>
  <si>
    <t>amenajare spatiu de productie si livrare</t>
  </si>
  <si>
    <t>Cheltuieli  juridice de infiintare si inregistrare a firmei  din care CS 200 lei</t>
  </si>
  <si>
    <t xml:space="preserve">obiecte de inventar </t>
  </si>
  <si>
    <t>masini si echipamente noi</t>
  </si>
  <si>
    <t>Administraţie si contabilitate - 1 salariat cu fractiune de norma (1 ora/zi) sau Onorarii experti/ servicii specializare de contabilitate/ tehnologie si juridice de infintare firma</t>
  </si>
  <si>
    <t>Cheltuieli de Birou/ Consumabile</t>
  </si>
  <si>
    <t xml:space="preserve">Cheltuieli de deplasare/delegatii </t>
  </si>
  <si>
    <t xml:space="preserve">Cheltuieli de Marketing si Promovare -  realizare pagina Web/ mentenanta website firma, participari la evenimente specifice </t>
  </si>
  <si>
    <t>conform  bugetului de marketing</t>
  </si>
  <si>
    <t xml:space="preserve">Utilitati birou/ sediu social: Energie electrica, apa, energie termica, telefon si internet </t>
  </si>
  <si>
    <t>incluse in ch cu auxiliare</t>
  </si>
  <si>
    <t>incluse in ch cu transportul</t>
  </si>
  <si>
    <t>incluse in  ch. Cu utilitatile de productie</t>
  </si>
  <si>
    <t>Chirie punct de lucru</t>
  </si>
  <si>
    <t>amortizare totala/ perioada</t>
  </si>
  <si>
    <t>Servicii sau lucrări subcontractate: autorizatii, abonamente, mentenanta , cheltuieli anterioare  productiei  de autorizare</t>
  </si>
  <si>
    <t>ch de autorizare - investitie</t>
  </si>
  <si>
    <t>detaliat in descrierea investitiei si a ch. Anterioare productiei</t>
  </si>
  <si>
    <t>CONTUL DE PROFIT ȘI PIERDERE PRESCURTAT</t>
  </si>
  <si>
    <t>AN 2018</t>
  </si>
  <si>
    <t>AN 2019</t>
  </si>
  <si>
    <t>AN 2020</t>
  </si>
  <si>
    <t>1. Cifra de afaceri netă</t>
  </si>
  <si>
    <t>VENITURI DIN EXPLOATARE – TOTAL rd.2+3</t>
  </si>
  <si>
    <t>Cheltuieli cu materii prime/marfuri şi materiale consumabile aferente activităţii desfaşurate</t>
  </si>
  <si>
    <t>Salarii (inclusiv cheltuielile aferente)</t>
  </si>
  <si>
    <t>Salarii nete</t>
  </si>
  <si>
    <t>Cheltuieli cu salariile</t>
  </si>
  <si>
    <t>Chirii</t>
  </si>
  <si>
    <t>Utilităţi</t>
  </si>
  <si>
    <t>Costuri funcţionare birou, Cheltuieli de marketing, Reparaţii/Întreţinere</t>
  </si>
  <si>
    <t>Asigurări</t>
  </si>
  <si>
    <t>Impozite, taxe şi vărsăminte asimilate,  Impozitul pe profit</t>
  </si>
  <si>
    <t>Alte cheltuieli</t>
  </si>
  <si>
    <t>TOTAL CHELTUIELI( RD.5-12)</t>
  </si>
  <si>
    <t>PROFITUL SAU PIERDEREA DIN EXPLOATARE:</t>
  </si>
  <si>
    <t>Profit ( RD.4-13)</t>
  </si>
  <si>
    <t>Pierdere (RD.13-4)</t>
  </si>
  <si>
    <t xml:space="preserve">VENITURI FINANCIARE – TOTAL </t>
  </si>
  <si>
    <t>CHELTUIELI FINANCIARE - TOTAL</t>
  </si>
  <si>
    <t>PROFITUL SAU PIERDEREA FINANCIAR(Ă) (RD,17-18)</t>
  </si>
  <si>
    <t>VENITURI TOTALE  (RD.4+17)</t>
  </si>
  <si>
    <t>CHELTUIELI TOTALE  (RD,13+18)</t>
  </si>
  <si>
    <t>18. PROFITUL SAU PIERDEREA BRUT(Ă):</t>
  </si>
  <si>
    <t>Profit  (  Rd,20-21)</t>
  </si>
  <si>
    <t>Pierdere  (rd.21-20)</t>
  </si>
  <si>
    <t>UNDE NU SUNT COSTURI VA RUGAM SA INTRODUCETI 0</t>
  </si>
  <si>
    <t>NU SE COMPLTEAZA pentru ca se fac calcule automat</t>
  </si>
  <si>
    <t>Alte cheltuieli ( amortizare si ch cu ob de inventar)</t>
  </si>
  <si>
    <t xml:space="preserve"> VENITURI DIN EXPLOATARE </t>
  </si>
  <si>
    <t xml:space="preserve">Alte venituri din exploatare </t>
  </si>
  <si>
    <t>CASH-FLOW</t>
  </si>
  <si>
    <t>Nr. crt.</t>
  </si>
  <si>
    <t>I</t>
  </si>
  <si>
    <t>Sold iniţial disponibil (casă şi bancă)</t>
  </si>
  <si>
    <t>A</t>
  </si>
  <si>
    <t>Intrări de lichidităţi (1+2+3+4)</t>
  </si>
  <si>
    <t>din vânzări</t>
  </si>
  <si>
    <t>din credite primite</t>
  </si>
  <si>
    <t>alte intrări de numerar (aport propriu, etc.)</t>
  </si>
  <si>
    <t>Alocaţie Financiară nerambursabilă</t>
  </si>
  <si>
    <t>Total disponibil (I+A)</t>
  </si>
  <si>
    <t>B</t>
  </si>
  <si>
    <t>Utilizari numerar din exploatare</t>
  </si>
  <si>
    <t>Cheltuieli cu materii prime şi materiale consumabile aferente activităţii desfaşurate</t>
  </si>
  <si>
    <t>Costuri funcţionare birou, Cheltuieli de marketing, Servicii cu terţii, Reparaţii/Întreţinere</t>
  </si>
  <si>
    <t>Impozite, taxe şi vărsăminte asimilate</t>
  </si>
  <si>
    <t>C</t>
  </si>
  <si>
    <t>Cheltuieli pentru investiţii (Valoarea totală a proiectului)</t>
  </si>
  <si>
    <t>D</t>
  </si>
  <si>
    <t xml:space="preserve">Credite </t>
  </si>
  <si>
    <t>rambursări rate de credit scadente</t>
  </si>
  <si>
    <t>dobânzi şi comisioane</t>
  </si>
  <si>
    <t>E</t>
  </si>
  <si>
    <t>Plăţi/încasări pentru impozite şi taxe (1-2+3)</t>
  </si>
  <si>
    <t>Plăţi TVA</t>
  </si>
  <si>
    <t>Rambursări TVA</t>
  </si>
  <si>
    <t>Impozit pe profit/cifră de afaceri</t>
  </si>
  <si>
    <t>F</t>
  </si>
  <si>
    <t>Dividende</t>
  </si>
  <si>
    <t>G</t>
  </si>
  <si>
    <t>Total utilizări numerar (B+C+D+E+F)</t>
  </si>
  <si>
    <t>H</t>
  </si>
  <si>
    <t>Flux net de lichidităţi (A-G)</t>
  </si>
  <si>
    <t>II</t>
  </si>
  <si>
    <t>Sold final disponibil (I+H)</t>
  </si>
  <si>
    <t>Explicaţii / an</t>
  </si>
  <si>
    <t>Preț unitar mediu (lei/mp)</t>
  </si>
  <si>
    <t>an 3</t>
  </si>
  <si>
    <t>an2</t>
  </si>
  <si>
    <t>An3</t>
  </si>
  <si>
    <t>Cheltuilei  cu transportul materiilor prime/ materiale- produse finite   ( combustibil)</t>
  </si>
  <si>
    <t>Utilitati punct de lucru: Energie electrica, apa, energie termica, telefon si internet</t>
  </si>
  <si>
    <t>400 lei/luna</t>
  </si>
  <si>
    <t xml:space="preserve">Anul II </t>
  </si>
  <si>
    <t>Anul III</t>
  </si>
  <si>
    <t>An 3</t>
  </si>
  <si>
    <t>Utilităţi si cheltuieli de transport</t>
  </si>
  <si>
    <t>Venituri Totale</t>
  </si>
  <si>
    <t>Cheltuieli Totale</t>
  </si>
  <si>
    <t>Profit/Pierdere</t>
  </si>
  <si>
    <t>An 2018</t>
  </si>
  <si>
    <t>An 2019</t>
  </si>
  <si>
    <t>An 2020</t>
  </si>
  <si>
    <t>marja de profit</t>
  </si>
  <si>
    <t>corelare cu  planul de afaceri</t>
  </si>
  <si>
    <t>Bunuri Mobile</t>
  </si>
  <si>
    <t>Chltuieli intretinere</t>
  </si>
  <si>
    <t>total anul inv</t>
  </si>
  <si>
    <t xml:space="preserve">Expert cooptat </t>
  </si>
  <si>
    <t>Cheltuieli Transport  materiale si marfuri</t>
  </si>
  <si>
    <t>Servicii specializate tehnologie (securizare si autorizare)</t>
  </si>
  <si>
    <t>An 2</t>
  </si>
  <si>
    <t>Total Ch Directe</t>
  </si>
  <si>
    <t>Total Ch Indirecte</t>
  </si>
  <si>
    <t>Total Cheltuieli</t>
  </si>
  <si>
    <t>AN 2021</t>
  </si>
  <si>
    <t>An 2021</t>
  </si>
  <si>
    <t>Ch. Directe</t>
  </si>
  <si>
    <t>Ch. Indirecte</t>
  </si>
  <si>
    <t>vanzari  produse pentru animale de companie</t>
  </si>
  <si>
    <t>vanzari produse si  unelte  de gradinarit</t>
  </si>
  <si>
    <t>vanzari produse  de fito-farmacie</t>
  </si>
  <si>
    <t>Marfuri pentru vanzare</t>
  </si>
  <si>
    <t xml:space="preserve">60% din pretul de vanzare </t>
  </si>
  <si>
    <t>Materiale auxiliare (ambalaje si alte materiale)</t>
  </si>
  <si>
    <t>2% din pretul de vanzare</t>
  </si>
  <si>
    <t>Cheltuieli  cu salarii ( manopera directa: salarii nete, inclusiv taxe şi contribuţii sociale si contributie firma) ex: 2500 lei salariu brut: 1430 lei ( 57,2%) - salariu net si 1070 lei (42,8%) -taxe si contributii ale angajatorului si angajatului</t>
  </si>
  <si>
    <t>500 lei/luna</t>
  </si>
  <si>
    <t>Buget salarii Lei/an</t>
  </si>
  <si>
    <t>Recomandari revizuire/ actualizare buget</t>
  </si>
  <si>
    <t xml:space="preserve"> 1. Revizuiti bugetul de salarii  functie de  legislatia aplicabila de la 01.01.2019  - vezi  materiale si exemple                                                                                        </t>
  </si>
  <si>
    <t>2. Subventia va fi  primita  in  30 -45 zile de la semnarea  contractului de finantare, pentru  primele  2 luni cheltuielile  cu salarii si taxe aferente vor fi  realizate din resurse propri si de vor deconta ulterior din subventie.</t>
  </si>
  <si>
    <t>4.Cheltuieli cu salariile sunt  cheltuieli eigibile, Decontati intregul buget de salarii din  subventie?</t>
  </si>
  <si>
    <t>6. Revizuiti  cheltuielile cu contabilul dupa ce  ati identificat unul si ati negociat un contract de servicii pe primul an care sa includa si  asitenta  pentru  raportarea utilizarii  subventiei.</t>
  </si>
  <si>
    <t>9. Actualizati intregul buget de  investitii in  mijloace fixe si obiecte de inventar,  fiecare element  al  investitiei  trebuie  fundamentat  cu 3 oferte,  valoarea finala  fiind  la alegerea D-voastra  functie de caracteristicile tehnice si functionale  mai  putin  functie de pret.</t>
  </si>
  <si>
    <t>10.Este  recomandata decontarea din  subventie a  investitiei.</t>
  </si>
  <si>
    <t>14.Chiria platita  de firma pe baza contractului de inchiriere prin transfer bancar este cheltuiala eleigibila si se  poate deconta din subventie</t>
  </si>
  <si>
    <t>16. Amortizarea nu  se deconteaza din  bugetul  de subventie decat in cazul in care  raman rezerve  necheltuite pe  celelalte lini de buget</t>
  </si>
  <si>
    <t>17. Cheltuielile de marketing/ servicii de promovare sunt  decontate din  subventie   pe baza de contract/ factura si platite  prin transfer bancar. Se recomanda identificarea uni  furmizor de servicii care realizeaza pagina de web, facebook, va face  promovarea on - line si produce di materialele tiparite de promovare: carti de  vizita, flayere, etc.</t>
  </si>
  <si>
    <t>Nr.  Crt.</t>
  </si>
  <si>
    <t>Element de investiţie/ Cheltuieli operationale</t>
  </si>
  <si>
    <t>Total -RON</t>
  </si>
  <si>
    <t>Cheltuieli prevazute a fi realizate in transa 1</t>
  </si>
  <si>
    <t>Cheltuieli prevazute a fi realizate in transa 2</t>
  </si>
  <si>
    <t>Comentarii MD</t>
  </si>
  <si>
    <t>1. Cheltuieli cu salariile personalului nou angajat</t>
  </si>
  <si>
    <t>Cheltuieli salariale</t>
  </si>
  <si>
    <t>Bugetul de salarii trebuie revizuit  conform legislatiei aplicabile in 2019</t>
  </si>
  <si>
    <t>Onorarii/venituri asimilate salariilor pentru experti proprii/cooptati - salariul net</t>
  </si>
  <si>
    <t>Contributii sociale aferente cheltuielilor salariale si cheltuielilor asimilate acestora (contributii angajati si angajatori)</t>
  </si>
  <si>
    <t>pentru plata salariilor se utilizeaza subventia,  salariile nete se transfera in contul angajatilor, taxele se platesc la bugetul statului</t>
  </si>
  <si>
    <t>TOTAL Cheltuieli cu salariile personalului nou angajat</t>
  </si>
  <si>
    <t>2. Cheltuieli cu deplasarea personalului intreprinderilor nou-infiintate</t>
  </si>
  <si>
    <t>Cheltuieli cu diurna personalului propriu</t>
  </si>
  <si>
    <t>Cheltuieli pentru transportul persoanelor (inclusiv transportul efectuat cu mijloacele de transport in comun sau taxi, gara, autogara sau port si locul delegarii ori locul de cazare, precum si transportul efectuat pe distanta dintre locul de cazare si locul delegarii)</t>
  </si>
  <si>
    <t>Taxe si asigurari de calatorie si asigurari medicale aferente deplasarii</t>
  </si>
  <si>
    <t>TOTAL Cheltuieli cu deplasarea personalului intreprinderilor nou-infiintate</t>
  </si>
  <si>
    <t>incasari/ contributie proprie</t>
  </si>
  <si>
    <t>3. Cheltuieli aferente diverselor achizitii de servicii specializate, pentru care beneficiarul ajutorului de minimis nu are expertiza necesara</t>
  </si>
  <si>
    <t> 3.1</t>
  </si>
  <si>
    <t xml:space="preserve">Cheltuieli  juridice de infiintare firma - mai putin  Capitalul social </t>
  </si>
  <si>
    <t>Vezi comentarii  cap 3.</t>
  </si>
  <si>
    <t>3.2.</t>
  </si>
  <si>
    <t>Cheltuieli  cu  documentatia de  avizare a functionarii firme si cu  autorizarea</t>
  </si>
  <si>
    <t>3.3.</t>
  </si>
  <si>
    <t>Cheltuieli cu securizarea  spatiului de lucru</t>
  </si>
  <si>
    <t>3.4.</t>
  </si>
  <si>
    <t>Cheltuieli  cu serviciile de contabilitate</t>
  </si>
  <si>
    <t>TOTAL Cheltuieli aferente diverselor achizitii de servicii specializate, pentru care beneficiarul ajutorului de minimis nu are expertiza necesara</t>
  </si>
  <si>
    <t>4. Cheltuieli cu achizitia de active fixe corporale (altele decat terenuri si imobile), obiecte de inventar, materii prime si materiale, inclusiv materiale consumabile, alte cheltuieli pentru investitii necesare functionarii intreprinderilor</t>
  </si>
  <si>
    <t xml:space="preserve">Masini si echipamente de Productie/ Prestari servicii </t>
  </si>
  <si>
    <t>Nota:  Buget detaliat revizuit al investitiei</t>
  </si>
  <si>
    <t>4.2.</t>
  </si>
  <si>
    <t xml:space="preserve">Echipamente IT </t>
  </si>
  <si>
    <t>4.3.</t>
  </si>
  <si>
    <t xml:space="preserve">Mobilier </t>
  </si>
  <si>
    <t>4.4.</t>
  </si>
  <si>
    <t>Investitia - Active  necorporale programe</t>
  </si>
  <si>
    <t>4.5.</t>
  </si>
  <si>
    <t xml:space="preserve">Obiecte de inventar ( valoare achizitie &lt;2500 lei TVA inclus) </t>
  </si>
  <si>
    <t>4.6.</t>
  </si>
  <si>
    <t>Amanenajari spatii de Productie /Prestari servicii/Comert</t>
  </si>
  <si>
    <t>4.7.</t>
  </si>
  <si>
    <t>Materii prime anul 1</t>
  </si>
  <si>
    <t>TOTAL Cheltuieli cu achizitia de active fixe corporale (altele decat terenuri si imobile), obiecte de inventar, materii prime si materiale, inclusiv materiale consumabile, alte cheltuieli pentru investitii necesare functionarii intreprinderilor</t>
  </si>
  <si>
    <t>5. Cheltuieli cu inchirierea de sedii (inclusiv depozite), spatii pentru desfasurarea diverselor activitati ale intreprinderii, echipamente, vehicule, diverse bunuri mobile si imobile)</t>
  </si>
  <si>
    <t> 5.1</t>
  </si>
  <si>
    <t>Cheltuieli cu chiria  sediu social/punctului de lucru</t>
  </si>
  <si>
    <t>TOTAL Cheltuieli cu inchirierea de sedii (inclusiv depozite), spatii pentru desfasurarea diverselor activitati ale intreprinderii, echipamente, vehicule, diverse bunuri mobile si imobile)</t>
  </si>
  <si>
    <t>6. Cheltuieli de leasing fara achizitie (leasing operational) aferente functionarii intreprinderilor (rate de leasing operational platite de intreprinderea pentru: echipamente, vehicule, diverse bunuri mobile si imobile)</t>
  </si>
  <si>
    <t> 6.1</t>
  </si>
  <si>
    <t> 6.2</t>
  </si>
  <si>
    <t>TOTAL Cheltuieli de leasing fara achizitie (leasing operational) aferente functionarii intreprinderilor (rate de leasing operational platite de intreprinderea pentru: echipamente, vehicule, diverse bunuri mobile si imobile)</t>
  </si>
  <si>
    <t>7. Utilitati aferente functionarii intreprinderilor</t>
  </si>
  <si>
    <t> 7.1</t>
  </si>
  <si>
    <t>Cheltuieli cu  utilitati anul 1</t>
  </si>
  <si>
    <t> 7.2</t>
  </si>
  <si>
    <t>TOTAL Utilitati aferente functionarii intreprinderilor</t>
  </si>
  <si>
    <t>8. Servicii de administrare a cladirilor aferente functionarii intreprinderilor</t>
  </si>
  <si>
    <t> 8.1</t>
  </si>
  <si>
    <t> 8.2</t>
  </si>
  <si>
    <t>TOTAL Servicii de administrare a cladirilor aferente functionarii intreprinderilor</t>
  </si>
  <si>
    <t>9. Servicii de intretinere si reparare de echipamente si mijloace de transport aferente functionarii intreprinderilor</t>
  </si>
  <si>
    <t> 9.1</t>
  </si>
  <si>
    <t> 9.2</t>
  </si>
  <si>
    <t>TOTAL Servicii de intretinere si reparare de echipamente si mijloace de transport aferente functionarii intreprinderilor</t>
  </si>
  <si>
    <t>10. Arhivare de documente aferente functionarii intreprinderilor</t>
  </si>
  <si>
    <t> 10.1</t>
  </si>
  <si>
    <t> 10.2</t>
  </si>
  <si>
    <t>TOTAL Arhivare de documente aferente functionarii intreprinderilor</t>
  </si>
  <si>
    <t>11. Amortizare de active aferente functionarii intreprinderilor</t>
  </si>
  <si>
    <t xml:space="preserve">Amorizare investitie </t>
  </si>
  <si>
    <t>TOTAL Amortizare de active aferente functionarii intreprinderilor</t>
  </si>
  <si>
    <t>amortizarea nu se deconteaza din subventie</t>
  </si>
  <si>
    <t>12. Cheltuieli financiare si juridice (notariale) aferente functionarii intreprinderilor</t>
  </si>
  <si>
    <t> 12.1</t>
  </si>
  <si>
    <t> 12.2</t>
  </si>
  <si>
    <t>TOTAL Cheltuieli financiare si juridice (notariale) aferente functionarii intreprinderilor</t>
  </si>
  <si>
    <t>13. Conectare la retele informatice aferente functionarii intreprinderilor</t>
  </si>
  <si>
    <t> 13.1</t>
  </si>
  <si>
    <t> 13.2</t>
  </si>
  <si>
    <t>TOTAL  Conectare la retele informatice aferente functionarii intreprinderilor</t>
  </si>
  <si>
    <t>14. Cheltuieli de informare si publicitate aferente functionarii intrerpinderilor</t>
  </si>
  <si>
    <t> 14.1</t>
  </si>
  <si>
    <t>Cheltuieli  de marketing anul 1</t>
  </si>
  <si>
    <t> 14.2</t>
  </si>
  <si>
    <t>TOTAL Cheltuieli de informare si publicitate aferente functionarii intrerpinderilor</t>
  </si>
  <si>
    <t>15. Alte cheltuieli aferente functionarii intreprinderilor</t>
  </si>
  <si>
    <t>Prelucrarea de date</t>
  </si>
  <si>
    <t>Intretinere, actualizare si dezvoltare de aplicatii informatice</t>
  </si>
  <si>
    <t>Achizitionare de publicatii, carti, reviste de specialitate relevante pentru operatiune, in format tiparit si /sau electronic</t>
  </si>
  <si>
    <t>Concesiuni, brevete, licente, marci comerciale, drepturi si active similare</t>
  </si>
  <si>
    <t>Cheltuieli de transport: aprovizionare si desfacere</t>
  </si>
  <si>
    <t>TOTAL Alte cheltuieli aferente functionarii intreprinderilor</t>
  </si>
  <si>
    <t>TOTAL GENERAL</t>
  </si>
  <si>
    <t>Total subventie transa I si II</t>
  </si>
  <si>
    <t>Nota:  salariile incluse in  costuri sunt la limita inferioara a grilei de salarizare  din 2019,  in situatia  in care nu reusiti sa  recrutati salariati la acest nivel de salarii  poyeti sa  cresteti nivelul de salarizare</t>
  </si>
  <si>
    <t>3. Cel de-al doilea angajat incepe activitatea in luna 4 - daca Dv. considerati ca nu reusiti sa finalizati  complet investitia si nu aveti  nevoie  de inca un salariat, aveti in vedere decalarea angajarii cu  1 - 2 luni; Tineti cont ca prin contractul de finantare va  angajati si  TREBUIE sa creati 2 locuri de munca cel tarziu  in luna a 6-a de la semnarea contractului de subventie.</t>
  </si>
  <si>
    <t>7. Deoarece  prin proiect se asigura consultanta  pentru infiintarea firmei, poteti  redistribui aceste costuri  pe alte linii bugetare e.g.  Consultanta pentru obtinertea autorizatiilor de finctionare specifice.</t>
  </si>
  <si>
    <t>8. Cheltuielile de securizare/ asigurare efractie:   functie de  locatia si arhitectura magazinului, aveti in vedere si asigurarea/ securizarea depozitului de marfuri. Atentie la  legislatia privind  protectia  datelor / imaginii personale la amplasarea  camerelor de supraveghere si la  utilizarea imaginilor stocate.</t>
  </si>
  <si>
    <t>11.Toate achizitiile  documentate in  disarul de achizitie, se fac  pe baza de factura, plata prin transfer bancar, PV de receptie si punere in functiune.</t>
  </si>
  <si>
    <t>13. Identificati  sediul/ punctul de lucru,  incheiati  pre-contracte de inchiriere/comodat si  mentionati-le in actul constitutiv la  societatii.  Toate  investitiile  ( amenajarile) realizate in cadrul proiectului si decontate din subventie se amplaseaza fie la sediul social  fie la punctul de lucru declarat  si  inregistrat  la RC.</t>
  </si>
  <si>
    <t xml:space="preserve">Nota:  principalul element de investitie este amenajarea  magazinului.  Determinarea valorii  se realizeaza pe baza unui deviz de lucrari ( materiale+ manopera)  realizat de o firma de constructii/arhitectura   pe locatia indentificata  si  inchiriata/pre- contractata  inclusa in  documentele societatii ( punct de lucru). </t>
  </si>
  <si>
    <t>15. Cheltuielile  cu  utilitatile sunt  decontabile din  subventie daca se fac  in numele firmei in baza unor contracte cu furnizorii de utilitati incheiate pe firma,  daca nu doriti sa faceti contract de  furnizare pe societate, acestea pot fi incluse  in contractul de  chirie/ comodat al spatiului: sediu sau punct de lucru.</t>
  </si>
  <si>
    <t xml:space="preserve">Flux de numerar  aferent subventiei  </t>
  </si>
  <si>
    <t>Indicator/ Perioada (luna -an 0)/ UM (lei)</t>
  </si>
  <si>
    <t>L0</t>
  </si>
  <si>
    <t>L1</t>
  </si>
  <si>
    <t>L2</t>
  </si>
  <si>
    <t>L3</t>
  </si>
  <si>
    <t>L4</t>
  </si>
  <si>
    <t>L5</t>
  </si>
  <si>
    <t>L6</t>
  </si>
  <si>
    <t>L7</t>
  </si>
  <si>
    <t>L8</t>
  </si>
  <si>
    <t>L9</t>
  </si>
  <si>
    <t>L10</t>
  </si>
  <si>
    <t>L11</t>
  </si>
  <si>
    <t>L12</t>
  </si>
  <si>
    <t>Resurse financiare la începutul perioadei</t>
  </si>
  <si>
    <t>Intrari din subvenție</t>
  </si>
  <si>
    <t>TOTAL INTRARI DE NUMERAR</t>
  </si>
  <si>
    <t>Cheltuieli pentru investiţii/ L0 - capital social</t>
  </si>
  <si>
    <t>Cheltuieli operaţionale</t>
  </si>
  <si>
    <t>TOTAL IEŞIRI DE NUMERAR</t>
  </si>
  <si>
    <t>SURPLUS / DEFICIT NUMERAR</t>
  </si>
  <si>
    <t>decontat din subventie pe baza de contract de inchiriere prin transfer bancar</t>
  </si>
  <si>
    <t>Cheltuieli pentru transportul persoanelor (inclusiv transportul efectuat cu mijloacele de transport in comun sau taxi, gara, autogara sau port si locul delegarii ori locul de cazare, precum si transportul efectuat pe distanta dintre locul de cazare si loc</t>
  </si>
  <si>
    <t>Sistem de alarma</t>
  </si>
  <si>
    <t>Sistem supraveghere video</t>
  </si>
  <si>
    <t>Cheltuieli infiintare site si pagina facebook/ Instagram, magazin online</t>
  </si>
  <si>
    <t xml:space="preserve">echipament IT  </t>
  </si>
  <si>
    <t>Cheltuieli de informare si publicitate aferente functionarii intreprinderilor</t>
  </si>
  <si>
    <t>Distribuire tricouri cu logo firma la inaugurare</t>
  </si>
  <si>
    <t>Personalizari tricouri cu logo firma pentru clienti la inaugurare</t>
  </si>
  <si>
    <t>R. Cristescu  COSTURI ACCEPTATE LA FINANTARE - previziune 12 luni</t>
  </si>
  <si>
    <t>Rafturi amenajare  spatiu magazin</t>
  </si>
  <si>
    <t>Aer conditionat pentru magazin</t>
  </si>
  <si>
    <t>Traspalet marfa</t>
  </si>
  <si>
    <t xml:space="preserve">Distribuitor acrilic pentru hrana uscata </t>
  </si>
  <si>
    <t>Birou pentru PC + scaun</t>
  </si>
  <si>
    <t>Cantar cu etichetare</t>
  </si>
  <si>
    <t>Casa de marcat</t>
  </si>
  <si>
    <t>Cititor coduri de bare</t>
  </si>
  <si>
    <t>Imprimanta etichete</t>
  </si>
  <si>
    <t>Imprimanta multifunctionala</t>
  </si>
  <si>
    <t>Imprimanta termica POS</t>
  </si>
  <si>
    <t>Marcator pret</t>
  </si>
  <si>
    <t>Carduri fidelity</t>
  </si>
  <si>
    <t>Sertar de bani</t>
  </si>
  <si>
    <t>UPS back-up sistem de alimentatie</t>
  </si>
  <si>
    <t>Scara aluminiu pentru aranjare marfa</t>
  </si>
  <si>
    <t>Carucior pentru transport marfa</t>
  </si>
  <si>
    <t>Program vanzari, facturare</t>
  </si>
  <si>
    <t>TV- monitor pentru camere video de supraveghere</t>
  </si>
  <si>
    <t>PC , imprimanta multifunctionala</t>
  </si>
  <si>
    <t>Caseta luminoasa - firma magazin</t>
  </si>
  <si>
    <t>Cheltuieli cu echipamente personalizate (tricouri cu logo firma) pentru inaugurare magazin</t>
  </si>
  <si>
    <t>Sistem antifurt pentru produsele din magazin</t>
  </si>
  <si>
    <t>Incaltaminte de protectie Pantofi/bocanci siguranta muncii pentru 2 angajati</t>
  </si>
  <si>
    <r>
      <t xml:space="preserve">5. Aceste cheltuieli sunt eligibile  insa  fiind  realizate  de obicei in numerar sunt dificil de  documentat, recomand ca  acest tip de cheltuieli </t>
    </r>
    <r>
      <rPr>
        <sz val="12"/>
        <color rgb="FFFF0000"/>
        <rFont val="Arial Narrow"/>
        <family val="2"/>
      </rPr>
      <t xml:space="preserve">sa nu fie decontat din </t>
    </r>
    <r>
      <rPr>
        <sz val="12"/>
        <color theme="1"/>
        <rFont val="Arial Narrow"/>
        <family val="2"/>
      </rPr>
      <t>subventie</t>
    </r>
  </si>
  <si>
    <r>
      <t> </t>
    </r>
    <r>
      <rPr>
        <i/>
        <sz val="10"/>
        <color rgb="FF000000"/>
        <rFont val="Arial Narrow"/>
        <family val="2"/>
      </rPr>
      <t>Descriere cheltuială …………….</t>
    </r>
  </si>
  <si>
    <r>
      <t>  </t>
    </r>
    <r>
      <rPr>
        <i/>
        <sz val="10"/>
        <color rgb="FF000000"/>
        <rFont val="Arial Narrow"/>
        <family val="2"/>
      </rPr>
      <t>Descriere cheltuială …………….</t>
    </r>
  </si>
  <si>
    <t>4.1.</t>
  </si>
  <si>
    <t>bugetul de marketing  va fi completat  cu  resurse din incasarile firmei</t>
  </si>
  <si>
    <t>dosare de achizitii</t>
  </si>
  <si>
    <t>400 lei luna - sv. Contabilitate;  Ch cu asitenta juridica la infiinatre si autorizare 1500 lei</t>
  </si>
  <si>
    <t xml:space="preserve">100mp= 400 Euro/luna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</si>
</sst>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0.0%"/>
    <numFmt numFmtId="167" formatCode="_(* #,##0.0_);_(* \(#,##0.0\);_(* &quot;-&quot;??_);_(@_)"/>
    <numFmt numFmtId="168" formatCode="_(* #,##0.0000_);_(* \(#,##0.0000\);_(* &quot;-&quot;??_);_(@_)"/>
    <numFmt numFmtId="169" formatCode="_(* #,##0.0_);_(* \(#,##0.0\);_(* &quot;-&quot;?_);_(@_)"/>
  </numFmts>
  <fonts count="57" x14ac:knownFonts="1">
    <font>
      <sz val="11"/>
      <color theme="1"/>
      <name val="Calibri"/>
      <family val="2"/>
      <scheme val="minor"/>
    </font>
    <font>
      <sz val="11"/>
      <color theme="1"/>
      <name val="Calibri"/>
      <family val="2"/>
      <charset val="238"/>
      <scheme val="minor"/>
    </font>
    <font>
      <sz val="11"/>
      <color theme="1"/>
      <name val="Calibri"/>
      <family val="2"/>
      <scheme val="minor"/>
    </font>
    <font>
      <sz val="11"/>
      <name val="Arial Narrow"/>
      <family val="2"/>
    </font>
    <font>
      <sz val="11"/>
      <color theme="1"/>
      <name val="Arial Narrow"/>
      <family val="2"/>
    </font>
    <font>
      <u/>
      <sz val="11"/>
      <color theme="10"/>
      <name val="Calibri"/>
      <family val="2"/>
      <scheme val="minor"/>
    </font>
    <font>
      <b/>
      <sz val="11"/>
      <color theme="1"/>
      <name val="Arial Narrow"/>
      <family val="2"/>
    </font>
    <font>
      <b/>
      <sz val="11"/>
      <color rgb="FF222222"/>
      <name val="Arial Narrow"/>
      <family val="2"/>
    </font>
    <font>
      <sz val="11"/>
      <color rgb="FF222222"/>
      <name val="Arial Narrow"/>
      <family val="2"/>
    </font>
    <font>
      <u/>
      <sz val="11"/>
      <color theme="10"/>
      <name val="Arial Narrow"/>
      <family val="2"/>
    </font>
    <font>
      <sz val="11"/>
      <color rgb="FFC00000"/>
      <name val="Arial Narrow"/>
      <family val="2"/>
    </font>
    <font>
      <b/>
      <sz val="11"/>
      <color rgb="FFC00000"/>
      <name val="Arial Narrow"/>
      <family val="2"/>
    </font>
    <font>
      <sz val="10"/>
      <name val="MS Sans Serif"/>
      <family val="2"/>
    </font>
    <font>
      <sz val="11"/>
      <color rgb="FF000000"/>
      <name val="Arial Narrow"/>
      <family val="2"/>
    </font>
    <font>
      <b/>
      <sz val="11"/>
      <color rgb="FF000000"/>
      <name val="Arial Narrow"/>
      <family val="2"/>
    </font>
    <font>
      <sz val="7"/>
      <color rgb="FF000000"/>
      <name val="Times New Roman"/>
      <family val="1"/>
    </font>
    <font>
      <i/>
      <sz val="11"/>
      <color rgb="FF000000"/>
      <name val="Arial Narrow"/>
      <family val="2"/>
    </font>
    <font>
      <b/>
      <sz val="7"/>
      <color rgb="FF000000"/>
      <name val="Times New Roman"/>
      <family val="1"/>
    </font>
    <font>
      <b/>
      <sz val="18"/>
      <color rgb="FF000000"/>
      <name val="Calibri"/>
      <family val="2"/>
      <scheme val="minor"/>
    </font>
    <font>
      <sz val="11"/>
      <color rgb="FFFF0000"/>
      <name val="Arial Narrow"/>
      <family val="2"/>
    </font>
    <font>
      <b/>
      <sz val="11"/>
      <name val="Arial Narrow"/>
      <family val="2"/>
    </font>
    <font>
      <b/>
      <i/>
      <sz val="11"/>
      <color theme="1"/>
      <name val="Arial Narrow"/>
      <family val="2"/>
    </font>
    <font>
      <i/>
      <sz val="11"/>
      <color theme="1"/>
      <name val="Arial Narrow"/>
      <family val="2"/>
    </font>
    <font>
      <b/>
      <sz val="11"/>
      <color indexed="10"/>
      <name val="Arial Narrow"/>
      <family val="2"/>
    </font>
    <font>
      <b/>
      <i/>
      <u/>
      <sz val="11"/>
      <name val="Arial Narrow"/>
      <family val="2"/>
    </font>
    <font>
      <b/>
      <sz val="11"/>
      <color theme="0"/>
      <name val="Arial Narrow"/>
      <family val="2"/>
    </font>
    <font>
      <sz val="10"/>
      <color theme="1"/>
      <name val="Arial Narrow"/>
      <family val="2"/>
    </font>
    <font>
      <b/>
      <sz val="11"/>
      <color rgb="FFFF0000"/>
      <name val="Arial Narrow"/>
      <family val="2"/>
    </font>
    <font>
      <b/>
      <sz val="10"/>
      <color theme="1"/>
      <name val="Arial Narrow"/>
      <family val="2"/>
    </font>
    <font>
      <b/>
      <sz val="10"/>
      <name val="Arial Narrow"/>
      <family val="2"/>
    </font>
    <font>
      <sz val="10"/>
      <name val="Arial Narrow"/>
      <family val="2"/>
    </font>
    <font>
      <sz val="11"/>
      <color rgb="FFFF0000"/>
      <name val="Calibri"/>
      <family val="2"/>
      <scheme val="minor"/>
    </font>
    <font>
      <b/>
      <sz val="11"/>
      <color indexed="8"/>
      <name val="Calibri"/>
      <family val="2"/>
    </font>
    <font>
      <sz val="11"/>
      <color indexed="8"/>
      <name val="Times New Roman"/>
      <family val="1"/>
    </font>
    <font>
      <b/>
      <sz val="11"/>
      <color indexed="8"/>
      <name val="Times New Roman"/>
      <family val="1"/>
    </font>
    <font>
      <sz val="12"/>
      <color indexed="8"/>
      <name val="Times New Roman"/>
      <family val="1"/>
    </font>
    <font>
      <sz val="11"/>
      <name val="Times New Roman"/>
      <family val="1"/>
    </font>
    <font>
      <sz val="11"/>
      <color indexed="8"/>
      <name val="Calibri"/>
      <family val="2"/>
    </font>
    <font>
      <b/>
      <sz val="12"/>
      <color indexed="8"/>
      <name val="Times New Roman"/>
      <family val="1"/>
    </font>
    <font>
      <sz val="14"/>
      <color rgb="FF000000"/>
      <name val="Calibri"/>
      <family val="2"/>
      <scheme val="minor"/>
    </font>
    <font>
      <sz val="11"/>
      <color rgb="FF000000"/>
      <name val="Calibri"/>
      <family val="2"/>
      <charset val="238"/>
      <scheme val="minor"/>
    </font>
    <font>
      <sz val="12"/>
      <name val="Times New Roman"/>
      <family val="1"/>
    </font>
    <font>
      <sz val="11"/>
      <color theme="1"/>
      <name val="Calibri"/>
      <family val="2"/>
      <charset val="238"/>
      <scheme val="minor"/>
    </font>
    <font>
      <u/>
      <sz val="11"/>
      <name val="Arial Narrow"/>
      <family val="2"/>
    </font>
    <font>
      <sz val="12"/>
      <color theme="1"/>
      <name val="Arial Narrow"/>
      <family val="2"/>
    </font>
    <font>
      <i/>
      <sz val="12"/>
      <color theme="1"/>
      <name val="Arial Narrow"/>
      <family val="2"/>
    </font>
    <font>
      <b/>
      <sz val="12"/>
      <color theme="1"/>
      <name val="Arial Narrow"/>
      <family val="2"/>
    </font>
    <font>
      <b/>
      <sz val="20"/>
      <color theme="1"/>
      <name val="Arial Narrow"/>
      <family val="2"/>
    </font>
    <font>
      <sz val="14"/>
      <color theme="1"/>
      <name val="Arial Narrow"/>
      <family val="2"/>
    </font>
    <font>
      <sz val="12"/>
      <color rgb="FFFF0000"/>
      <name val="Arial Narrow"/>
      <family val="2"/>
    </font>
    <font>
      <b/>
      <sz val="16"/>
      <color theme="1"/>
      <name val="Arial Narrow"/>
      <family val="2"/>
    </font>
    <font>
      <sz val="12"/>
      <color rgb="FF0070C0"/>
      <name val="Arial Narrow"/>
      <family val="2"/>
    </font>
    <font>
      <sz val="10"/>
      <color rgb="FF000000"/>
      <name val="Arial Narrow"/>
      <family val="2"/>
    </font>
    <font>
      <b/>
      <sz val="10"/>
      <color rgb="FF000000"/>
      <name val="Arial Narrow"/>
      <family val="2"/>
    </font>
    <font>
      <sz val="10"/>
      <color rgb="FFFF0000"/>
      <name val="Arial Narrow"/>
      <family val="2"/>
    </font>
    <font>
      <b/>
      <sz val="10"/>
      <color rgb="FFFF0000"/>
      <name val="Arial Narrow"/>
      <family val="2"/>
    </font>
    <font>
      <i/>
      <sz val="10"/>
      <color rgb="FF000000"/>
      <name val="Arial Narrow"/>
      <family val="2"/>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4" tint="-0.249977111117893"/>
        <bgColor indexed="64"/>
      </patternFill>
    </fill>
    <fill>
      <patternFill patternType="solid">
        <fgColor rgb="FF0070C0"/>
        <bgColor indexed="64"/>
      </patternFill>
    </fill>
  </fills>
  <borders count="5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s>
  <cellStyleXfs count="7">
    <xf numFmtId="0" fontId="0" fillId="0" borderId="0"/>
    <xf numFmtId="164" fontId="2" fillId="0" borderId="0" applyFont="0" applyFill="0" applyBorder="0" applyAlignment="0" applyProtection="0"/>
    <xf numFmtId="9" fontId="2" fillId="0" borderId="0" applyFont="0" applyFill="0" applyBorder="0" applyAlignment="0" applyProtection="0"/>
    <xf numFmtId="0" fontId="5" fillId="0" borderId="0" applyNumberFormat="0" applyFill="0" applyBorder="0" applyAlignment="0" applyProtection="0"/>
    <xf numFmtId="0" fontId="12" fillId="0" borderId="0"/>
    <xf numFmtId="0" fontId="42" fillId="0" borderId="0"/>
    <xf numFmtId="0" fontId="1" fillId="0" borderId="0"/>
  </cellStyleXfs>
  <cellXfs count="486">
    <xf numFmtId="0" fontId="0" fillId="0" borderId="0" xfId="0"/>
    <xf numFmtId="0" fontId="0" fillId="0" borderId="2" xfId="0" applyBorder="1"/>
    <xf numFmtId="0" fontId="6" fillId="0" borderId="0" xfId="0" applyFont="1"/>
    <xf numFmtId="165" fontId="4" fillId="0" borderId="2" xfId="1" applyNumberFormat="1" applyFont="1" applyBorder="1"/>
    <xf numFmtId="165" fontId="4" fillId="0" borderId="17" xfId="1" applyNumberFormat="1" applyFont="1" applyBorder="1"/>
    <xf numFmtId="0" fontId="4" fillId="0" borderId="2" xfId="0" applyFont="1" applyBorder="1"/>
    <xf numFmtId="0" fontId="6" fillId="0" borderId="2" xfId="0" applyFont="1" applyBorder="1"/>
    <xf numFmtId="0" fontId="4" fillId="0" borderId="0" xfId="0" applyFont="1"/>
    <xf numFmtId="164" fontId="4" fillId="0" borderId="0" xfId="0" applyNumberFormat="1" applyFont="1"/>
    <xf numFmtId="165" fontId="4" fillId="0" borderId="6" xfId="1" applyNumberFormat="1" applyFont="1" applyBorder="1"/>
    <xf numFmtId="165" fontId="4" fillId="0" borderId="10" xfId="1" applyNumberFormat="1" applyFont="1" applyBorder="1" applyAlignment="1">
      <alignment vertical="center" wrapText="1"/>
    </xf>
    <xf numFmtId="0" fontId="6" fillId="0" borderId="8" xfId="0" applyFont="1" applyBorder="1" applyAlignment="1">
      <alignment horizontal="center" vertical="center" wrapText="1"/>
    </xf>
    <xf numFmtId="0" fontId="6" fillId="0" borderId="19" xfId="0" applyFont="1" applyBorder="1" applyAlignment="1">
      <alignment horizontal="left" vertical="center" wrapText="1"/>
    </xf>
    <xf numFmtId="0" fontId="6" fillId="0" borderId="9" xfId="0" applyFont="1" applyBorder="1" applyAlignment="1">
      <alignment horizontal="left" vertical="center" wrapText="1"/>
    </xf>
    <xf numFmtId="0" fontId="4" fillId="0" borderId="0" xfId="0" applyFont="1" applyAlignment="1">
      <alignment horizontal="left" wrapText="1"/>
    </xf>
    <xf numFmtId="165" fontId="4" fillId="0" borderId="0" xfId="0" applyNumberFormat="1" applyFont="1"/>
    <xf numFmtId="0" fontId="10" fillId="0" borderId="2" xfId="0" applyFont="1" applyBorder="1"/>
    <xf numFmtId="165" fontId="10" fillId="0" borderId="2" xfId="1" applyNumberFormat="1" applyFont="1" applyBorder="1"/>
    <xf numFmtId="0" fontId="7" fillId="0" borderId="11" xfId="0" applyFont="1" applyBorder="1" applyAlignment="1">
      <alignment horizontal="left" vertical="center" wrapText="1"/>
    </xf>
    <xf numFmtId="0" fontId="10" fillId="0" borderId="15" xfId="0" applyFont="1" applyBorder="1"/>
    <xf numFmtId="0" fontId="8" fillId="0" borderId="14" xfId="0" applyFont="1" applyBorder="1" applyAlignment="1">
      <alignment horizontal="left" vertical="center" wrapText="1"/>
    </xf>
    <xf numFmtId="0" fontId="9" fillId="0" borderId="14" xfId="3" applyFont="1" applyBorder="1" applyAlignment="1">
      <alignment horizontal="left" vertical="center" wrapText="1"/>
    </xf>
    <xf numFmtId="0" fontId="9" fillId="0" borderId="16" xfId="3" applyFont="1" applyBorder="1" applyAlignment="1">
      <alignment horizontal="left" vertical="center" wrapText="1"/>
    </xf>
    <xf numFmtId="0" fontId="7" fillId="0" borderId="14" xfId="0" applyFont="1" applyBorder="1" applyAlignment="1">
      <alignment horizontal="left" vertical="center" wrapText="1"/>
    </xf>
    <xf numFmtId="0" fontId="4" fillId="0" borderId="16" xfId="0" applyFont="1" applyBorder="1" applyAlignment="1">
      <alignment horizontal="left" vertical="center" wrapText="1"/>
    </xf>
    <xf numFmtId="165" fontId="10" fillId="0" borderId="12" xfId="1" applyNumberFormat="1" applyFont="1" applyBorder="1"/>
    <xf numFmtId="165" fontId="10" fillId="0" borderId="17" xfId="1" applyNumberFormat="1" applyFont="1" applyBorder="1"/>
    <xf numFmtId="165" fontId="4" fillId="0" borderId="12" xfId="1" applyNumberFormat="1" applyFont="1" applyBorder="1"/>
    <xf numFmtId="165" fontId="11" fillId="0" borderId="12" xfId="1" applyNumberFormat="1" applyFont="1" applyBorder="1"/>
    <xf numFmtId="0" fontId="6" fillId="0" borderId="2"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3" xfId="0" applyFont="1" applyBorder="1" applyAlignment="1">
      <alignment horizontal="center"/>
    </xf>
    <xf numFmtId="0" fontId="4" fillId="0" borderId="14" xfId="0" applyFont="1" applyBorder="1" applyAlignment="1">
      <alignment horizontal="left" vertical="center" wrapText="1"/>
    </xf>
    <xf numFmtId="0" fontId="4" fillId="0" borderId="14" xfId="0" applyFont="1" applyBorder="1" applyAlignment="1">
      <alignment horizontal="left" wrapText="1"/>
    </xf>
    <xf numFmtId="0" fontId="6" fillId="0" borderId="0" xfId="0" applyFont="1" applyAlignment="1">
      <alignment wrapText="1"/>
    </xf>
    <xf numFmtId="0" fontId="4" fillId="0" borderId="12" xfId="0" applyFont="1" applyBorder="1" applyAlignment="1">
      <alignment horizontal="center"/>
    </xf>
    <xf numFmtId="0" fontId="4" fillId="0" borderId="13" xfId="0" applyFont="1" applyBorder="1" applyAlignment="1">
      <alignment horizontal="center"/>
    </xf>
    <xf numFmtId="165" fontId="11" fillId="0" borderId="23" xfId="1" applyNumberFormat="1" applyFont="1" applyBorder="1" applyAlignment="1">
      <alignment horizontal="center"/>
    </xf>
    <xf numFmtId="165" fontId="11" fillId="0" borderId="22" xfId="1" applyNumberFormat="1" applyFont="1" applyBorder="1" applyAlignment="1">
      <alignment horizontal="center"/>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left" vertical="top" wrapText="1"/>
    </xf>
    <xf numFmtId="0" fontId="6" fillId="0" borderId="11" xfId="0" applyFont="1" applyBorder="1" applyAlignment="1">
      <alignment horizontal="left" wrapText="1"/>
    </xf>
    <xf numFmtId="0" fontId="4" fillId="0" borderId="24" xfId="0" applyFont="1" applyBorder="1" applyAlignment="1">
      <alignment horizontal="left" wrapText="1"/>
    </xf>
    <xf numFmtId="0" fontId="4" fillId="0" borderId="21" xfId="0" applyFont="1" applyBorder="1" applyAlignment="1">
      <alignment horizontal="left" wrapText="1"/>
    </xf>
    <xf numFmtId="166" fontId="4" fillId="0" borderId="10" xfId="2" applyNumberFormat="1" applyFont="1" applyBorder="1" applyAlignment="1">
      <alignment horizontal="center" vertical="center" wrapText="1"/>
    </xf>
    <xf numFmtId="165" fontId="10" fillId="0" borderId="2" xfId="0" applyNumberFormat="1" applyFont="1" applyBorder="1" applyAlignment="1">
      <alignment horizontal="center" wrapText="1"/>
    </xf>
    <xf numFmtId="9" fontId="10" fillId="0" borderId="15" xfId="2" applyFont="1" applyBorder="1" applyAlignment="1">
      <alignment horizontal="center" wrapText="1"/>
    </xf>
    <xf numFmtId="165" fontId="10" fillId="0" borderId="2" xfId="0" applyNumberFormat="1" applyFont="1" applyBorder="1"/>
    <xf numFmtId="9" fontId="10" fillId="0" borderId="15" xfId="2" applyFont="1" applyBorder="1" applyAlignment="1">
      <alignment horizontal="center"/>
    </xf>
    <xf numFmtId="9" fontId="10" fillId="0" borderId="28" xfId="2" applyFont="1" applyBorder="1" applyAlignment="1">
      <alignment horizontal="center"/>
    </xf>
    <xf numFmtId="165" fontId="10" fillId="0" borderId="23" xfId="0" applyNumberFormat="1" applyFont="1" applyBorder="1"/>
    <xf numFmtId="9" fontId="10" fillId="0" borderId="22" xfId="0" applyNumberFormat="1" applyFont="1" applyBorder="1" applyAlignment="1">
      <alignment horizontal="center"/>
    </xf>
    <xf numFmtId="166" fontId="4" fillId="0" borderId="0" xfId="0" applyNumberFormat="1" applyFont="1"/>
    <xf numFmtId="0" fontId="4" fillId="0" borderId="16" xfId="0" applyFont="1" applyBorder="1" applyAlignment="1">
      <alignment horizontal="left" wrapText="1"/>
    </xf>
    <xf numFmtId="0" fontId="4" fillId="0" borderId="17" xfId="0" applyFont="1" applyBorder="1"/>
    <xf numFmtId="0" fontId="13" fillId="0" borderId="9" xfId="0" applyFont="1" applyBorder="1" applyAlignment="1">
      <alignment horizontal="left" vertical="center" wrapText="1" indent="4"/>
    </xf>
    <xf numFmtId="0" fontId="14" fillId="0" borderId="9" xfId="0" applyFont="1" applyBorder="1" applyAlignment="1">
      <alignment horizontal="left" vertical="center" wrapText="1" indent="2"/>
    </xf>
    <xf numFmtId="0" fontId="6" fillId="0" borderId="10" xfId="0" applyFont="1" applyBorder="1" applyAlignment="1">
      <alignment horizontal="center" vertical="center" wrapText="1"/>
    </xf>
    <xf numFmtId="0" fontId="13" fillId="0" borderId="0" xfId="0" applyFont="1" applyAlignment="1">
      <alignment vertical="center" wrapText="1"/>
    </xf>
    <xf numFmtId="0" fontId="13" fillId="0" borderId="0" xfId="0" applyFont="1" applyAlignment="1">
      <alignment horizontal="center" vertical="center" wrapText="1"/>
    </xf>
    <xf numFmtId="0" fontId="14" fillId="0" borderId="0" xfId="0" applyFont="1" applyAlignment="1">
      <alignment vertical="center" wrapText="1"/>
    </xf>
    <xf numFmtId="9" fontId="13" fillId="0" borderId="0" xfId="0" applyNumberFormat="1" applyFont="1" applyAlignment="1">
      <alignment horizontal="center" vertical="center" wrapText="1"/>
    </xf>
    <xf numFmtId="0" fontId="13" fillId="0" borderId="0" xfId="0" applyFont="1" applyAlignment="1">
      <alignment horizontal="left" vertical="center" wrapText="1" indent="4"/>
    </xf>
    <xf numFmtId="0" fontId="14" fillId="0" borderId="0" xfId="0" applyFont="1" applyAlignment="1">
      <alignment horizontal="left" vertical="center" wrapText="1" indent="2"/>
    </xf>
    <xf numFmtId="0" fontId="4" fillId="0" borderId="0" xfId="0" applyFont="1" applyAlignment="1">
      <alignment horizontal="center"/>
    </xf>
    <xf numFmtId="165" fontId="10" fillId="0" borderId="10" xfId="1" applyNumberFormat="1" applyFont="1" applyBorder="1" applyAlignment="1">
      <alignment vertical="center" wrapText="1"/>
    </xf>
    <xf numFmtId="166" fontId="10" fillId="0" borderId="10" xfId="2" applyNumberFormat="1" applyFont="1" applyBorder="1" applyAlignment="1">
      <alignment horizontal="center" vertical="center" wrapText="1"/>
    </xf>
    <xf numFmtId="9" fontId="10" fillId="0" borderId="10" xfId="0" applyNumberFormat="1" applyFont="1" applyBorder="1" applyAlignment="1">
      <alignment horizontal="center" vertical="center" wrapText="1"/>
    </xf>
    <xf numFmtId="0" fontId="18" fillId="0" borderId="0" xfId="0" applyFont="1" applyAlignment="1">
      <alignment horizontal="center" vertical="center" readingOrder="1"/>
    </xf>
    <xf numFmtId="0" fontId="18" fillId="0" borderId="0" xfId="0" applyFont="1" applyAlignment="1">
      <alignment horizontal="center" vertical="center"/>
    </xf>
    <xf numFmtId="9" fontId="6" fillId="0" borderId="10" xfId="2" applyFont="1" applyBorder="1" applyAlignment="1">
      <alignment horizontal="center" vertical="center" wrapText="1"/>
    </xf>
    <xf numFmtId="0" fontId="4" fillId="0" borderId="2" xfId="3" applyFont="1" applyBorder="1" applyAlignment="1">
      <alignment horizontal="left" vertical="center" wrapText="1"/>
    </xf>
    <xf numFmtId="0" fontId="8" fillId="0" borderId="2" xfId="0" applyFont="1" applyBorder="1" applyAlignment="1">
      <alignment horizontal="right" vertical="center" wrapText="1"/>
    </xf>
    <xf numFmtId="0" fontId="3" fillId="0" borderId="14" xfId="3" applyFont="1" applyBorder="1" applyAlignment="1">
      <alignment horizontal="left" vertical="center" wrapText="1"/>
    </xf>
    <xf numFmtId="0" fontId="6" fillId="0" borderId="2" xfId="0" applyFont="1" applyBorder="1" applyAlignment="1">
      <alignment horizontal="left" vertical="center" wrapText="1"/>
    </xf>
    <xf numFmtId="0" fontId="9" fillId="0" borderId="2" xfId="3" applyFont="1" applyBorder="1" applyAlignment="1">
      <alignment horizontal="left" vertical="center" wrapText="1"/>
    </xf>
    <xf numFmtId="165" fontId="6" fillId="0" borderId="2" xfId="1" applyNumberFormat="1" applyFont="1" applyBorder="1" applyAlignment="1">
      <alignment horizontal="left" vertical="center" wrapText="1"/>
    </xf>
    <xf numFmtId="165" fontId="11" fillId="0" borderId="2" xfId="1" applyNumberFormat="1" applyFont="1" applyBorder="1" applyAlignment="1">
      <alignment horizontal="left" vertical="center" wrapText="1"/>
    </xf>
    <xf numFmtId="165" fontId="6" fillId="0" borderId="2" xfId="1" applyNumberFormat="1" applyFont="1" applyBorder="1" applyAlignment="1">
      <alignment horizontal="left" wrapText="1"/>
    </xf>
    <xf numFmtId="165" fontId="6" fillId="0" borderId="1" xfId="1" applyNumberFormat="1" applyFont="1" applyBorder="1" applyAlignment="1">
      <alignment horizontal="left" vertical="center" wrapText="1"/>
    </xf>
    <xf numFmtId="165" fontId="11" fillId="0" borderId="0" xfId="1" applyNumberFormat="1"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xf>
    <xf numFmtId="165" fontId="11" fillId="0" borderId="0" xfId="1" applyNumberFormat="1" applyFont="1" applyAlignment="1">
      <alignment horizontal="center"/>
    </xf>
    <xf numFmtId="0" fontId="6" fillId="0" borderId="2" xfId="0" applyFont="1" applyBorder="1" applyAlignment="1">
      <alignment horizontal="center"/>
    </xf>
    <xf numFmtId="165" fontId="11" fillId="0" borderId="2" xfId="1" applyNumberFormat="1" applyFont="1" applyBorder="1" applyAlignment="1">
      <alignment horizontal="center"/>
    </xf>
    <xf numFmtId="165" fontId="10" fillId="0" borderId="2" xfId="1" applyNumberFormat="1" applyFont="1" applyBorder="1" applyAlignment="1">
      <alignment horizontal="center"/>
    </xf>
    <xf numFmtId="165" fontId="6" fillId="0" borderId="2" xfId="1" applyNumberFormat="1" applyFont="1" applyBorder="1" applyAlignment="1">
      <alignment vertical="center" wrapText="1"/>
    </xf>
    <xf numFmtId="0" fontId="6" fillId="0" borderId="27" xfId="0" applyFont="1" applyBorder="1"/>
    <xf numFmtId="0" fontId="6" fillId="0" borderId="3" xfId="0" applyFont="1" applyBorder="1"/>
    <xf numFmtId="0" fontId="10" fillId="0" borderId="20" xfId="0" applyFont="1" applyBorder="1"/>
    <xf numFmtId="0" fontId="7" fillId="0" borderId="2" xfId="0" applyFont="1" applyBorder="1" applyAlignment="1">
      <alignment horizontal="left" vertical="center" wrapText="1"/>
    </xf>
    <xf numFmtId="165" fontId="4" fillId="0" borderId="14" xfId="0" applyNumberFormat="1" applyFont="1" applyBorder="1" applyAlignment="1">
      <alignment horizontal="left" vertical="top" wrapText="1"/>
    </xf>
    <xf numFmtId="165" fontId="0" fillId="0" borderId="2" xfId="0" applyNumberFormat="1" applyBorder="1"/>
    <xf numFmtId="165" fontId="11" fillId="0" borderId="23" xfId="1" applyNumberFormat="1" applyFont="1" applyBorder="1" applyAlignment="1">
      <alignment horizontal="left" vertical="center" wrapText="1"/>
    </xf>
    <xf numFmtId="0" fontId="3" fillId="0" borderId="14" xfId="0" applyFont="1" applyBorder="1" applyAlignment="1">
      <alignment horizontal="justify" vertical="center" wrapText="1"/>
    </xf>
    <xf numFmtId="0" fontId="4" fillId="0" borderId="0" xfId="0" applyFont="1" applyAlignment="1">
      <alignment horizontal="justify" vertical="center"/>
    </xf>
    <xf numFmtId="9" fontId="4" fillId="0" borderId="0" xfId="2" applyFont="1"/>
    <xf numFmtId="165" fontId="19" fillId="0" borderId="35" xfId="1" applyNumberFormat="1" applyFont="1" applyBorder="1" applyAlignment="1">
      <alignment horizontal="center"/>
    </xf>
    <xf numFmtId="165" fontId="4" fillId="0" borderId="2" xfId="1" applyNumberFormat="1" applyFont="1" applyBorder="1" applyAlignment="1">
      <alignment horizontal="justify" vertical="center" wrapText="1"/>
    </xf>
    <xf numFmtId="165" fontId="22" fillId="0" borderId="2" xfId="1" applyNumberFormat="1" applyFont="1" applyBorder="1" applyAlignment="1">
      <alignment horizontal="justify" vertical="center" wrapText="1"/>
    </xf>
    <xf numFmtId="167" fontId="4" fillId="0" borderId="2" xfId="1" applyNumberFormat="1" applyFont="1" applyBorder="1" applyAlignment="1">
      <alignment horizontal="justify" vertical="center" wrapText="1"/>
    </xf>
    <xf numFmtId="164" fontId="4" fillId="0" borderId="2" xfId="1" applyFont="1" applyBorder="1" applyAlignment="1">
      <alignment horizontal="justify" vertical="center" wrapText="1"/>
    </xf>
    <xf numFmtId="0" fontId="22" fillId="0" borderId="0" xfId="0" applyFont="1" applyAlignment="1">
      <alignment horizontal="justify" vertical="center" wrapText="1"/>
    </xf>
    <xf numFmtId="0" fontId="6" fillId="0" borderId="0" xfId="0" applyFont="1" applyAlignment="1">
      <alignment horizontal="justify" vertical="center" wrapText="1"/>
    </xf>
    <xf numFmtId="0" fontId="4" fillId="0" borderId="0" xfId="0" applyFont="1" applyAlignment="1">
      <alignment horizontal="justify" vertical="center" wrapText="1"/>
    </xf>
    <xf numFmtId="9" fontId="4" fillId="0" borderId="0" xfId="0" applyNumberFormat="1" applyFont="1" applyAlignment="1">
      <alignment horizontal="justify" vertical="center" wrapText="1"/>
    </xf>
    <xf numFmtId="165" fontId="4" fillId="0" borderId="0" xfId="1" applyNumberFormat="1" applyFont="1"/>
    <xf numFmtId="0" fontId="3" fillId="0" borderId="1" xfId="0" applyFont="1" applyBorder="1" applyAlignment="1">
      <alignment horizontal="center" vertical="center" wrapText="1"/>
    </xf>
    <xf numFmtId="0" fontId="3" fillId="0" borderId="16" xfId="0" applyFont="1" applyBorder="1" applyAlignment="1">
      <alignment horizontal="justify" vertical="center" wrapText="1"/>
    </xf>
    <xf numFmtId="165" fontId="6" fillId="0" borderId="0" xfId="1" applyNumberFormat="1" applyFont="1" applyAlignment="1">
      <alignment horizontal="left" vertical="center" wrapText="1"/>
    </xf>
    <xf numFmtId="165" fontId="19" fillId="0" borderId="0" xfId="1" applyNumberFormat="1" applyFont="1" applyAlignment="1">
      <alignment horizontal="center"/>
    </xf>
    <xf numFmtId="165" fontId="3" fillId="0" borderId="2" xfId="1" applyNumberFormat="1" applyFont="1" applyBorder="1" applyAlignment="1">
      <alignment horizontal="center" vertical="center" wrapText="1"/>
    </xf>
    <xf numFmtId="165" fontId="3" fillId="0" borderId="17" xfId="1" applyNumberFormat="1" applyFont="1" applyBorder="1" applyAlignment="1">
      <alignment horizontal="center" vertical="center" wrapText="1"/>
    </xf>
    <xf numFmtId="1" fontId="24" fillId="2" borderId="0" xfId="4" applyNumberFormat="1" applyFont="1" applyFill="1" applyProtection="1">
      <protection locked="0"/>
    </xf>
    <xf numFmtId="1" fontId="20" fillId="2" borderId="0" xfId="4" applyNumberFormat="1" applyFont="1" applyFill="1" applyAlignment="1" applyProtection="1">
      <alignment horizontal="right"/>
      <protection locked="0"/>
    </xf>
    <xf numFmtId="3" fontId="23" fillId="2" borderId="0" xfId="4" applyNumberFormat="1" applyFont="1" applyFill="1" applyAlignment="1" applyProtection="1">
      <alignment horizontal="right"/>
      <protection locked="0"/>
    </xf>
    <xf numFmtId="1" fontId="20" fillId="2" borderId="0" xfId="4" quotePrefix="1" applyNumberFormat="1" applyFont="1" applyFill="1" applyProtection="1">
      <protection locked="0"/>
    </xf>
    <xf numFmtId="3" fontId="25" fillId="2" borderId="0" xfId="4" applyNumberFormat="1" applyFont="1" applyFill="1" applyAlignment="1" applyProtection="1">
      <alignment horizontal="right"/>
      <protection locked="0"/>
    </xf>
    <xf numFmtId="1" fontId="20" fillId="2" borderId="0" xfId="4" quotePrefix="1" applyNumberFormat="1" applyFont="1" applyFill="1" applyAlignment="1" applyProtection="1">
      <alignment horizontal="left"/>
      <protection locked="0"/>
    </xf>
    <xf numFmtId="1" fontId="20" fillId="2" borderId="0" xfId="4" applyNumberFormat="1" applyFont="1" applyFill="1" applyAlignment="1" applyProtection="1">
      <alignment horizontal="left"/>
      <protection locked="0"/>
    </xf>
    <xf numFmtId="9" fontId="23" fillId="2" borderId="0" xfId="4" applyNumberFormat="1" applyFont="1" applyFill="1" applyAlignment="1" applyProtection="1">
      <alignment horizontal="right"/>
      <protection locked="0"/>
    </xf>
    <xf numFmtId="1" fontId="23" fillId="2" borderId="0" xfId="4" applyNumberFormat="1" applyFont="1" applyFill="1" applyAlignment="1" applyProtection="1">
      <alignment horizontal="right"/>
      <protection locked="0"/>
    </xf>
    <xf numFmtId="3" fontId="20" fillId="2" borderId="0" xfId="4" applyNumberFormat="1" applyFont="1" applyFill="1" applyAlignment="1" applyProtection="1">
      <alignment horizontal="right"/>
      <protection hidden="1"/>
    </xf>
    <xf numFmtId="1" fontId="20" fillId="2" borderId="0" xfId="4" applyNumberFormat="1" applyFont="1" applyFill="1" applyProtection="1">
      <protection locked="0"/>
    </xf>
    <xf numFmtId="1" fontId="20" fillId="2" borderId="0" xfId="4" applyNumberFormat="1" applyFont="1" applyFill="1" applyAlignment="1" applyProtection="1">
      <alignment wrapText="1"/>
      <protection locked="0"/>
    </xf>
    <xf numFmtId="3" fontId="20" fillId="2" borderId="0" xfId="4" applyNumberFormat="1" applyFont="1" applyFill="1" applyAlignment="1" applyProtection="1">
      <alignment horizontal="right"/>
      <protection locked="0"/>
    </xf>
    <xf numFmtId="0" fontId="4" fillId="0" borderId="42" xfId="0" applyFont="1" applyBorder="1" applyAlignment="1">
      <alignment horizontal="center" vertical="center" wrapText="1"/>
    </xf>
    <xf numFmtId="0" fontId="4" fillId="0" borderId="27" xfId="0" applyFont="1" applyBorder="1" applyAlignment="1">
      <alignment horizontal="left" vertical="center" wrapText="1"/>
    </xf>
    <xf numFmtId="0" fontId="4" fillId="0" borderId="6" xfId="0" applyFont="1" applyBorder="1" applyAlignment="1">
      <alignment horizontal="left" vertical="center" wrapText="1"/>
    </xf>
    <xf numFmtId="165" fontId="4" fillId="0" borderId="6" xfId="1" applyNumberFormat="1" applyFont="1" applyBorder="1" applyAlignment="1">
      <alignment horizontal="left" vertical="center" wrapText="1"/>
    </xf>
    <xf numFmtId="165" fontId="4" fillId="0" borderId="6" xfId="1" applyNumberFormat="1" applyFont="1" applyBorder="1" applyAlignment="1">
      <alignment horizontal="justify" vertical="center" wrapText="1"/>
    </xf>
    <xf numFmtId="165" fontId="21" fillId="0" borderId="6" xfId="1" applyNumberFormat="1" applyFont="1" applyBorder="1" applyAlignment="1">
      <alignment horizontal="justify" vertical="center" wrapText="1"/>
    </xf>
    <xf numFmtId="165" fontId="4" fillId="0" borderId="6" xfId="1" applyNumberFormat="1" applyFont="1" applyBorder="1" applyAlignment="1">
      <alignment horizontal="justify" vertical="top" wrapText="1"/>
    </xf>
    <xf numFmtId="165" fontId="4" fillId="0" borderId="6" xfId="1" applyNumberFormat="1" applyFont="1" applyBorder="1" applyAlignment="1">
      <alignment horizontal="left" vertical="top" wrapText="1"/>
    </xf>
    <xf numFmtId="0" fontId="4" fillId="0" borderId="6" xfId="0" applyFont="1" applyBorder="1" applyAlignment="1">
      <alignment horizontal="justify" vertical="center" wrapText="1"/>
    </xf>
    <xf numFmtId="1" fontId="20" fillId="2" borderId="0" xfId="4" applyNumberFormat="1" applyFont="1" applyFill="1" applyAlignment="1" applyProtection="1">
      <alignment horizontal="center"/>
      <protection locked="0"/>
    </xf>
    <xf numFmtId="165" fontId="4" fillId="0" borderId="2" xfId="0" applyNumberFormat="1" applyFont="1" applyBorder="1" applyAlignment="1">
      <alignment horizontal="center" vertical="center" wrapText="1"/>
    </xf>
    <xf numFmtId="165" fontId="6" fillId="0" borderId="5" xfId="1" applyNumberFormat="1" applyFont="1" applyBorder="1" applyAlignment="1">
      <alignment vertical="center" wrapText="1"/>
    </xf>
    <xf numFmtId="0" fontId="4" fillId="0" borderId="0" xfId="0" applyFont="1" applyAlignment="1">
      <alignment horizontal="center" vertical="center" wrapText="1"/>
    </xf>
    <xf numFmtId="165" fontId="6" fillId="0" borderId="0" xfId="1" applyNumberFormat="1" applyFont="1" applyAlignment="1">
      <alignment horizontal="left" wrapText="1"/>
    </xf>
    <xf numFmtId="165" fontId="10" fillId="0" borderId="0" xfId="1" applyNumberFormat="1" applyFont="1" applyAlignment="1">
      <alignment horizontal="center"/>
    </xf>
    <xf numFmtId="165" fontId="4" fillId="0" borderId="0" xfId="0" applyNumberFormat="1" applyFont="1" applyAlignment="1">
      <alignment horizontal="center" vertical="center" wrapText="1"/>
    </xf>
    <xf numFmtId="9" fontId="4" fillId="0" borderId="0" xfId="0" applyNumberFormat="1" applyFont="1" applyAlignment="1">
      <alignment horizontal="center" vertical="center" wrapText="1"/>
    </xf>
    <xf numFmtId="9" fontId="4" fillId="0" borderId="0" xfId="0" applyNumberFormat="1" applyFont="1"/>
    <xf numFmtId="0" fontId="4" fillId="0" borderId="0" xfId="0" applyFont="1" applyAlignment="1">
      <alignment vertical="top"/>
    </xf>
    <xf numFmtId="165" fontId="4" fillId="0" borderId="0" xfId="0" applyNumberFormat="1" applyFont="1" applyAlignment="1">
      <alignment horizontal="center"/>
    </xf>
    <xf numFmtId="165" fontId="19" fillId="0" borderId="2" xfId="1" applyNumberFormat="1" applyFont="1" applyBorder="1"/>
    <xf numFmtId="0" fontId="26" fillId="0" borderId="0" xfId="0" applyFont="1" applyAlignment="1">
      <alignment wrapText="1"/>
    </xf>
    <xf numFmtId="165" fontId="4" fillId="0" borderId="0" xfId="2" applyNumberFormat="1" applyFont="1"/>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0" xfId="0" applyFont="1" applyAlignment="1">
      <alignment horizontal="center" vertical="center" wrapText="1"/>
    </xf>
    <xf numFmtId="0" fontId="3" fillId="0" borderId="41" xfId="0" applyFont="1" applyBorder="1" applyAlignment="1">
      <alignment horizontal="center" vertical="center" wrapText="1"/>
    </xf>
    <xf numFmtId="0" fontId="20" fillId="0" borderId="4" xfId="0" applyFont="1" applyBorder="1" applyAlignment="1">
      <alignment horizontal="center" vertical="center" wrapText="1"/>
    </xf>
    <xf numFmtId="165" fontId="19" fillId="0" borderId="36" xfId="0" applyNumberFormat="1" applyFont="1" applyBorder="1" applyAlignment="1">
      <alignment horizontal="center" vertical="center" wrapText="1"/>
    </xf>
    <xf numFmtId="165" fontId="19" fillId="0" borderId="14" xfId="1" applyNumberFormat="1" applyFont="1" applyBorder="1" applyAlignment="1">
      <alignment horizontal="center" vertical="center" wrapText="1"/>
    </xf>
    <xf numFmtId="165" fontId="19" fillId="0" borderId="2" xfId="1" applyNumberFormat="1" applyFont="1" applyBorder="1" applyAlignment="1">
      <alignment horizontal="center" vertical="center" wrapText="1"/>
    </xf>
    <xf numFmtId="165" fontId="19" fillId="0" borderId="36" xfId="0" applyNumberFormat="1" applyFont="1" applyBorder="1"/>
    <xf numFmtId="165" fontId="19" fillId="0" borderId="14" xfId="0" applyNumberFormat="1" applyFont="1" applyBorder="1"/>
    <xf numFmtId="165" fontId="27" fillId="0" borderId="14" xfId="0" applyNumberFormat="1" applyFont="1" applyBorder="1" applyAlignment="1">
      <alignment horizontal="center" vertical="center" wrapText="1"/>
    </xf>
    <xf numFmtId="165" fontId="27" fillId="0" borderId="16" xfId="0" applyNumberFormat="1" applyFont="1" applyBorder="1" applyAlignment="1">
      <alignment horizontal="center" vertical="center" wrapText="1"/>
    </xf>
    <xf numFmtId="9" fontId="4" fillId="0" borderId="0" xfId="2" applyFont="1" applyAlignment="1">
      <alignment horizontal="center" vertical="center" wrapText="1"/>
    </xf>
    <xf numFmtId="0" fontId="26" fillId="0" borderId="0" xfId="0" applyFont="1" applyAlignment="1">
      <alignment horizontal="center" wrapText="1"/>
    </xf>
    <xf numFmtId="165" fontId="4" fillId="0" borderId="0" xfId="1" applyNumberFormat="1" applyFont="1" applyAlignment="1">
      <alignment horizontal="center"/>
    </xf>
    <xf numFmtId="164" fontId="6"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horizontal="left" vertical="center" wrapText="1"/>
    </xf>
    <xf numFmtId="165" fontId="4" fillId="0" borderId="0" xfId="1" applyNumberFormat="1" applyFont="1" applyAlignment="1">
      <alignment horizontal="left" vertical="center" wrapText="1"/>
    </xf>
    <xf numFmtId="167" fontId="4" fillId="0" borderId="0" xfId="1" applyNumberFormat="1" applyFont="1" applyAlignment="1">
      <alignment horizontal="justify" vertical="center" wrapText="1"/>
    </xf>
    <xf numFmtId="165" fontId="4" fillId="0" borderId="0" xfId="1" applyNumberFormat="1" applyFont="1" applyAlignment="1">
      <alignment horizontal="left" vertical="top" wrapText="1"/>
    </xf>
    <xf numFmtId="165" fontId="4" fillId="0" borderId="0" xfId="1" applyNumberFormat="1" applyFont="1" applyAlignment="1">
      <alignment horizontal="justify" vertical="center" wrapText="1"/>
    </xf>
    <xf numFmtId="165" fontId="21" fillId="0" borderId="0" xfId="1" applyNumberFormat="1" applyFont="1" applyAlignment="1">
      <alignment horizontal="justify" vertical="center" wrapText="1"/>
    </xf>
    <xf numFmtId="165" fontId="22" fillId="0" borderId="0" xfId="1" applyNumberFormat="1" applyFont="1" applyAlignment="1">
      <alignment horizontal="justify" vertical="center" wrapText="1"/>
    </xf>
    <xf numFmtId="165" fontId="19" fillId="0" borderId="0" xfId="1" applyNumberFormat="1" applyFont="1"/>
    <xf numFmtId="165" fontId="6" fillId="0" borderId="0" xfId="1" applyNumberFormat="1" applyFont="1" applyAlignment="1">
      <alignment vertical="center" wrapText="1"/>
    </xf>
    <xf numFmtId="164" fontId="4" fillId="0" borderId="0" xfId="1" applyFont="1" applyAlignment="1">
      <alignment horizontal="justify" vertical="center" wrapText="1"/>
    </xf>
    <xf numFmtId="165" fontId="4" fillId="0" borderId="0" xfId="1" applyNumberFormat="1" applyFont="1" applyAlignment="1">
      <alignment horizontal="justify" vertical="top" wrapText="1"/>
    </xf>
    <xf numFmtId="0" fontId="20" fillId="0" borderId="0" xfId="0" applyFont="1" applyAlignment="1">
      <alignment horizontal="center" vertical="top"/>
    </xf>
    <xf numFmtId="164" fontId="6" fillId="0" borderId="0" xfId="1" applyFont="1" applyAlignment="1">
      <alignment horizontal="left" vertical="center" wrapText="1"/>
    </xf>
    <xf numFmtId="1" fontId="20" fillId="2" borderId="0" xfId="4" applyNumberFormat="1" applyFont="1" applyFill="1" applyAlignment="1" applyProtection="1">
      <alignment horizontal="centerContinuous"/>
      <protection locked="0"/>
    </xf>
    <xf numFmtId="3" fontId="20" fillId="2" borderId="0" xfId="4" applyNumberFormat="1" applyFont="1" applyFill="1" applyAlignment="1" applyProtection="1">
      <alignment horizontal="center"/>
      <protection hidden="1"/>
    </xf>
    <xf numFmtId="1" fontId="20" fillId="2" borderId="0" xfId="4" applyNumberFormat="1" applyFont="1" applyFill="1" applyAlignment="1" applyProtection="1">
      <alignment horizontal="center"/>
      <protection hidden="1"/>
    </xf>
    <xf numFmtId="0" fontId="20" fillId="2" borderId="0" xfId="4" applyFont="1" applyFill="1"/>
    <xf numFmtId="165" fontId="4" fillId="0" borderId="4" xfId="0" applyNumberFormat="1" applyFont="1" applyBorder="1" applyAlignment="1">
      <alignment horizontal="center" vertical="center" wrapText="1"/>
    </xf>
    <xf numFmtId="167" fontId="4" fillId="0" borderId="4" xfId="1" applyNumberFormat="1" applyFont="1" applyBorder="1" applyAlignment="1">
      <alignment horizontal="justify" vertical="center" wrapText="1"/>
    </xf>
    <xf numFmtId="165" fontId="4" fillId="0" borderId="4" xfId="1" applyNumberFormat="1" applyFont="1" applyBorder="1" applyAlignment="1">
      <alignment horizontal="justify" vertical="center" wrapText="1"/>
    </xf>
    <xf numFmtId="164" fontId="4" fillId="0" borderId="4" xfId="1" applyFont="1" applyBorder="1" applyAlignment="1">
      <alignment horizontal="justify" vertical="center" wrapText="1"/>
    </xf>
    <xf numFmtId="0" fontId="4" fillId="0" borderId="2" xfId="0" applyFont="1" applyBorder="1" applyAlignment="1">
      <alignment horizontal="center" vertical="center" wrapText="1"/>
    </xf>
    <xf numFmtId="165" fontId="0" fillId="0" borderId="0" xfId="0" applyNumberFormat="1"/>
    <xf numFmtId="0" fontId="4" fillId="0" borderId="1" xfId="0" applyFont="1" applyBorder="1"/>
    <xf numFmtId="165" fontId="21" fillId="0" borderId="42" xfId="1" applyNumberFormat="1" applyFont="1" applyBorder="1" applyAlignment="1">
      <alignment horizontal="justify" vertical="center" wrapText="1"/>
    </xf>
    <xf numFmtId="165" fontId="22" fillId="0" borderId="1" xfId="1" applyNumberFormat="1" applyFont="1" applyBorder="1" applyAlignment="1">
      <alignment horizontal="justify" vertical="center" wrapText="1"/>
    </xf>
    <xf numFmtId="165" fontId="4" fillId="0" borderId="41" xfId="1" applyNumberFormat="1" applyFont="1" applyBorder="1" applyAlignment="1">
      <alignment horizontal="justify" vertical="center" wrapText="1"/>
    </xf>
    <xf numFmtId="165" fontId="4" fillId="0" borderId="1" xfId="1" applyNumberFormat="1" applyFont="1" applyBorder="1"/>
    <xf numFmtId="165" fontId="19" fillId="0" borderId="1" xfId="1" applyNumberFormat="1" applyFont="1" applyBorder="1"/>
    <xf numFmtId="165" fontId="27" fillId="0" borderId="23" xfId="1" applyNumberFormat="1" applyFont="1" applyBorder="1" applyAlignment="1">
      <alignment horizontal="left" vertical="center" wrapText="1"/>
    </xf>
    <xf numFmtId="165" fontId="27" fillId="0" borderId="22" xfId="1" applyNumberFormat="1" applyFont="1" applyBorder="1" applyAlignment="1">
      <alignment horizontal="left" vertical="center" wrapText="1"/>
    </xf>
    <xf numFmtId="165" fontId="10" fillId="0" borderId="1" xfId="1" applyNumberFormat="1" applyFont="1" applyBorder="1"/>
    <xf numFmtId="168" fontId="0" fillId="0" borderId="0" xfId="0" applyNumberFormat="1"/>
    <xf numFmtId="1" fontId="4" fillId="0" borderId="2" xfId="0" applyNumberFormat="1" applyFont="1" applyBorder="1" applyAlignment="1">
      <alignment horizontal="center" vertical="center" wrapText="1"/>
    </xf>
    <xf numFmtId="0" fontId="4" fillId="0" borderId="14" xfId="3" applyFont="1" applyBorder="1" applyAlignment="1">
      <alignment horizontal="left" vertical="center" wrapText="1"/>
    </xf>
    <xf numFmtId="165" fontId="3" fillId="0" borderId="37" xfId="1" applyNumberFormat="1" applyFont="1" applyBorder="1" applyAlignment="1">
      <alignment horizontal="center" vertical="center" wrapText="1"/>
    </xf>
    <xf numFmtId="165" fontId="3" fillId="0" borderId="5" xfId="1" applyNumberFormat="1" applyFont="1" applyBorder="1" applyAlignment="1">
      <alignment horizontal="center" vertical="center" wrapText="1"/>
    </xf>
    <xf numFmtId="165" fontId="3" fillId="0" borderId="44" xfId="1" applyNumberFormat="1"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vertical="top" wrapText="1"/>
    </xf>
    <xf numFmtId="0" fontId="3" fillId="0" borderId="15" xfId="0" applyFont="1" applyBorder="1" applyAlignment="1">
      <alignment horizontal="center" vertical="center" wrapText="1"/>
    </xf>
    <xf numFmtId="165" fontId="3" fillId="0" borderId="15" xfId="1" applyNumberFormat="1" applyFont="1" applyBorder="1" applyAlignment="1">
      <alignment horizontal="center" vertical="center" wrapText="1"/>
    </xf>
    <xf numFmtId="0" fontId="4" fillId="0" borderId="17" xfId="0" applyFont="1" applyBorder="1" applyAlignment="1">
      <alignment vertical="top" wrapText="1"/>
    </xf>
    <xf numFmtId="0" fontId="4" fillId="0" borderId="0" xfId="0" applyFont="1" applyAlignment="1">
      <alignment vertical="center" wrapText="1"/>
    </xf>
    <xf numFmtId="9" fontId="6" fillId="0" borderId="0" xfId="2" applyFont="1" applyAlignment="1">
      <alignment vertical="center"/>
    </xf>
    <xf numFmtId="0" fontId="4" fillId="0" borderId="26" xfId="0" applyFont="1" applyBorder="1" applyAlignment="1">
      <alignment horizontal="center" vertical="top"/>
    </xf>
    <xf numFmtId="0" fontId="20" fillId="0" borderId="2" xfId="0" applyFont="1" applyBorder="1"/>
    <xf numFmtId="0" fontId="4" fillId="0" borderId="21" xfId="0" applyFont="1" applyBorder="1"/>
    <xf numFmtId="0" fontId="9" fillId="0" borderId="45" xfId="3" applyFont="1" applyBorder="1" applyAlignment="1">
      <alignment horizontal="left" vertical="center" wrapText="1"/>
    </xf>
    <xf numFmtId="165" fontId="4" fillId="0" borderId="3" xfId="1" applyNumberFormat="1" applyFont="1" applyBorder="1"/>
    <xf numFmtId="0" fontId="4" fillId="0" borderId="2" xfId="0" applyFont="1" applyBorder="1" applyAlignment="1">
      <alignment vertical="center" wrapText="1"/>
    </xf>
    <xf numFmtId="165" fontId="4" fillId="0" borderId="2" xfId="1" applyNumberFormat="1" applyFont="1" applyBorder="1" applyAlignment="1">
      <alignment wrapText="1"/>
    </xf>
    <xf numFmtId="165" fontId="3" fillId="0" borderId="0" xfId="0" applyNumberFormat="1" applyFont="1" applyAlignment="1">
      <alignment horizontal="center" vertical="center" wrapText="1"/>
    </xf>
    <xf numFmtId="165" fontId="28" fillId="0" borderId="0" xfId="1" applyNumberFormat="1" applyFont="1" applyAlignment="1">
      <alignment vertical="center" wrapText="1"/>
    </xf>
    <xf numFmtId="165" fontId="26" fillId="0" borderId="0" xfId="1" applyNumberFormat="1" applyFont="1" applyAlignment="1">
      <alignment horizontal="left" vertical="center" wrapText="1"/>
    </xf>
    <xf numFmtId="0" fontId="29" fillId="0" borderId="0" xfId="0" applyFont="1" applyAlignment="1">
      <alignment horizontal="center" vertical="top"/>
    </xf>
    <xf numFmtId="0" fontId="30" fillId="0" borderId="0" xfId="0" applyFont="1" applyAlignment="1">
      <alignment horizontal="center" vertical="center" wrapText="1"/>
    </xf>
    <xf numFmtId="165" fontId="30" fillId="0" borderId="0" xfId="0" applyNumberFormat="1" applyFont="1" applyAlignment="1">
      <alignment horizontal="center" vertical="center" wrapText="1"/>
    </xf>
    <xf numFmtId="165" fontId="28" fillId="0" borderId="0" xfId="1" applyNumberFormat="1" applyFont="1" applyAlignment="1">
      <alignment horizontal="left" vertical="center" wrapText="1"/>
    </xf>
    <xf numFmtId="164" fontId="28" fillId="0" borderId="0" xfId="1" applyFont="1" applyAlignment="1">
      <alignment horizontal="left" vertical="center" wrapText="1"/>
    </xf>
    <xf numFmtId="0" fontId="38" fillId="0" borderId="19" xfId="0" applyFont="1" applyBorder="1" applyAlignment="1">
      <alignment vertical="center"/>
    </xf>
    <xf numFmtId="0" fontId="38" fillId="0" borderId="0" xfId="0" applyFont="1" applyAlignment="1">
      <alignment vertical="center"/>
    </xf>
    <xf numFmtId="4" fontId="35" fillId="0" borderId="0" xfId="0" applyNumberFormat="1" applyFont="1" applyAlignment="1">
      <alignment vertical="center"/>
    </xf>
    <xf numFmtId="0" fontId="38" fillId="0" borderId="19" xfId="0" applyFont="1" applyBorder="1" applyAlignment="1">
      <alignment horizontal="center" vertical="center" wrapText="1"/>
    </xf>
    <xf numFmtId="0" fontId="38" fillId="0" borderId="19" xfId="0" applyFont="1" applyBorder="1" applyAlignment="1">
      <alignment vertical="center" wrapText="1"/>
    </xf>
    <xf numFmtId="0" fontId="35" fillId="0" borderId="19" xfId="0" applyFont="1" applyBorder="1" applyAlignment="1">
      <alignment vertical="center" wrapText="1"/>
    </xf>
    <xf numFmtId="4" fontId="0" fillId="0" borderId="0" xfId="0" applyNumberFormat="1"/>
    <xf numFmtId="0" fontId="0" fillId="0" borderId="1" xfId="0" applyBorder="1"/>
    <xf numFmtId="0" fontId="32" fillId="0" borderId="1" xfId="0" applyFont="1" applyBorder="1" applyAlignment="1">
      <alignment wrapText="1"/>
    </xf>
    <xf numFmtId="0" fontId="33" fillId="0" borderId="11" xfId="0" applyFont="1" applyBorder="1"/>
    <xf numFmtId="0" fontId="33" fillId="0" borderId="12" xfId="0" applyFont="1" applyBorder="1" applyAlignment="1">
      <alignment wrapText="1"/>
    </xf>
    <xf numFmtId="0" fontId="34" fillId="0" borderId="12" xfId="0" applyFont="1" applyBorder="1"/>
    <xf numFmtId="0" fontId="33" fillId="0" borderId="14" xfId="0" applyFont="1" applyBorder="1" applyAlignment="1">
      <alignment horizontal="center" vertical="center"/>
    </xf>
    <xf numFmtId="0" fontId="33" fillId="0" borderId="2" xfId="0" applyFont="1" applyBorder="1" applyAlignment="1">
      <alignment wrapText="1"/>
    </xf>
    <xf numFmtId="0" fontId="33" fillId="0" borderId="2" xfId="0" applyFont="1" applyBorder="1" applyAlignment="1">
      <alignment vertical="center" wrapText="1"/>
    </xf>
    <xf numFmtId="0" fontId="34" fillId="0" borderId="2" xfId="0" applyFont="1" applyBorder="1" applyAlignment="1">
      <alignment wrapText="1"/>
    </xf>
    <xf numFmtId="0" fontId="35" fillId="0" borderId="2" xfId="0" applyFont="1" applyBorder="1" applyAlignment="1">
      <alignment wrapText="1"/>
    </xf>
    <xf numFmtId="0" fontId="36" fillId="0" borderId="2" xfId="0" applyFont="1" applyBorder="1" applyAlignment="1">
      <alignment wrapText="1"/>
    </xf>
    <xf numFmtId="0" fontId="37" fillId="0" borderId="2" xfId="0" applyFont="1" applyBorder="1" applyAlignment="1">
      <alignment wrapText="1"/>
    </xf>
    <xf numFmtId="0" fontId="32" fillId="0" borderId="2" xfId="0" applyFont="1" applyBorder="1" applyAlignment="1">
      <alignment wrapText="1"/>
    </xf>
    <xf numFmtId="0" fontId="32" fillId="0" borderId="2" xfId="0" applyFont="1" applyBorder="1" applyAlignment="1">
      <alignment vertical="center" wrapText="1"/>
    </xf>
    <xf numFmtId="0" fontId="33" fillId="0" borderId="16" xfId="0" applyFont="1" applyBorder="1" applyAlignment="1">
      <alignment horizontal="center" vertical="center"/>
    </xf>
    <xf numFmtId="0" fontId="32" fillId="0" borderId="17" xfId="0" applyFont="1" applyBorder="1" applyAlignment="1">
      <alignment wrapText="1"/>
    </xf>
    <xf numFmtId="4" fontId="32" fillId="0" borderId="17" xfId="0" applyNumberFormat="1" applyFont="1" applyBorder="1"/>
    <xf numFmtId="0" fontId="39" fillId="0" borderId="2" xfId="0" applyFont="1" applyBorder="1" applyAlignment="1">
      <alignment wrapText="1"/>
    </xf>
    <xf numFmtId="0" fontId="40" fillId="0" borderId="6" xfId="0" applyFont="1" applyBorder="1"/>
    <xf numFmtId="0" fontId="39" fillId="0" borderId="3" xfId="0" applyFont="1" applyBorder="1" applyAlignment="1">
      <alignment wrapText="1"/>
    </xf>
    <xf numFmtId="0" fontId="40" fillId="0" borderId="27" xfId="0" applyFont="1" applyBorder="1"/>
    <xf numFmtId="0" fontId="3" fillId="0" borderId="24" xfId="0" applyFont="1" applyBorder="1" applyAlignment="1">
      <alignment horizontal="justify" vertical="center" wrapText="1"/>
    </xf>
    <xf numFmtId="165" fontId="3" fillId="0" borderId="1" xfId="1" applyNumberFormat="1" applyFont="1" applyBorder="1" applyAlignment="1">
      <alignment horizontal="center" vertical="center" wrapText="1"/>
    </xf>
    <xf numFmtId="169" fontId="0" fillId="0" borderId="0" xfId="0" applyNumberFormat="1"/>
    <xf numFmtId="3" fontId="34" fillId="0" borderId="2" xfId="0" applyNumberFormat="1" applyFont="1" applyBorder="1"/>
    <xf numFmtId="0" fontId="31" fillId="3" borderId="0" xfId="0" applyFont="1" applyFill="1"/>
    <xf numFmtId="3" fontId="0" fillId="0" borderId="0" xfId="0" applyNumberFormat="1"/>
    <xf numFmtId="9" fontId="0" fillId="0" borderId="0" xfId="2" applyFont="1"/>
    <xf numFmtId="0" fontId="38" fillId="3" borderId="19" xfId="0" applyFont="1" applyFill="1" applyBorder="1" applyAlignment="1">
      <alignment horizontal="center" vertical="center" wrapText="1"/>
    </xf>
    <xf numFmtId="0" fontId="38" fillId="3" borderId="19" xfId="0" applyFont="1" applyFill="1" applyBorder="1" applyAlignment="1">
      <alignment vertical="center" wrapText="1"/>
    </xf>
    <xf numFmtId="165" fontId="26" fillId="0" borderId="0" xfId="1" applyNumberFormat="1" applyFont="1" applyAlignment="1">
      <alignment vertical="center" wrapText="1"/>
    </xf>
    <xf numFmtId="0" fontId="0" fillId="2" borderId="0" xfId="0" applyFill="1"/>
    <xf numFmtId="165" fontId="4" fillId="2" borderId="2" xfId="1" applyNumberFormat="1" applyFont="1" applyFill="1" applyBorder="1"/>
    <xf numFmtId="165" fontId="19" fillId="2" borderId="2" xfId="1" applyNumberFormat="1" applyFont="1" applyFill="1" applyBorder="1"/>
    <xf numFmtId="165" fontId="6" fillId="2" borderId="2" xfId="1" applyNumberFormat="1" applyFont="1" applyFill="1" applyBorder="1" applyAlignment="1">
      <alignment vertical="center" wrapText="1"/>
    </xf>
    <xf numFmtId="165" fontId="19" fillId="2" borderId="1" xfId="1" applyNumberFormat="1" applyFont="1" applyFill="1" applyBorder="1"/>
    <xf numFmtId="165" fontId="27" fillId="2" borderId="23" xfId="1" applyNumberFormat="1" applyFont="1" applyFill="1" applyBorder="1" applyAlignment="1">
      <alignment horizontal="left" vertical="center" wrapText="1"/>
    </xf>
    <xf numFmtId="165" fontId="19" fillId="2" borderId="0" xfId="1" applyNumberFormat="1" applyFont="1" applyFill="1" applyAlignment="1">
      <alignment horizontal="center"/>
    </xf>
    <xf numFmtId="165" fontId="6" fillId="2" borderId="0" xfId="1" applyNumberFormat="1" applyFont="1" applyFill="1" applyAlignment="1">
      <alignment vertical="center" wrapText="1"/>
    </xf>
    <xf numFmtId="165" fontId="30" fillId="2" borderId="0" xfId="0" applyNumberFormat="1" applyFont="1" applyFill="1" applyAlignment="1">
      <alignment horizontal="center" vertical="center" wrapText="1"/>
    </xf>
    <xf numFmtId="165" fontId="28" fillId="2" borderId="0" xfId="1" applyNumberFormat="1" applyFont="1" applyFill="1" applyAlignment="1">
      <alignment horizontal="left" vertical="center" wrapText="1"/>
    </xf>
    <xf numFmtId="165" fontId="6" fillId="2" borderId="0" xfId="1" applyNumberFormat="1" applyFont="1" applyFill="1" applyAlignment="1">
      <alignment horizontal="left" vertical="center" wrapText="1"/>
    </xf>
    <xf numFmtId="164" fontId="0" fillId="2" borderId="0" xfId="0" applyNumberFormat="1" applyFill="1"/>
    <xf numFmtId="0" fontId="4" fillId="2" borderId="2" xfId="0" applyFont="1" applyFill="1" applyBorder="1" applyAlignment="1">
      <alignment horizontal="center" vertical="center" wrapText="1"/>
    </xf>
    <xf numFmtId="3" fontId="33" fillId="0" borderId="2" xfId="0" applyNumberFormat="1" applyFont="1" applyBorder="1"/>
    <xf numFmtId="3" fontId="32" fillId="0" borderId="2" xfId="0" applyNumberFormat="1" applyFont="1" applyBorder="1"/>
    <xf numFmtId="3" fontId="35" fillId="0" borderId="19" xfId="0" applyNumberFormat="1" applyFont="1" applyBorder="1" applyAlignment="1">
      <alignment horizontal="center" vertical="center"/>
    </xf>
    <xf numFmtId="3" fontId="35" fillId="3" borderId="19" xfId="0" applyNumberFormat="1" applyFont="1" applyFill="1" applyBorder="1" applyAlignment="1">
      <alignment horizontal="center" vertical="center"/>
    </xf>
    <xf numFmtId="3" fontId="33" fillId="0" borderId="19" xfId="0" applyNumberFormat="1" applyFont="1" applyBorder="1" applyAlignment="1">
      <alignment horizontal="center"/>
    </xf>
    <xf numFmtId="3" fontId="33" fillId="0" borderId="43" xfId="0" applyNumberFormat="1" applyFont="1" applyBorder="1" applyAlignment="1">
      <alignment horizontal="center"/>
    </xf>
    <xf numFmtId="3" fontId="41" fillId="0" borderId="19" xfId="0" applyNumberFormat="1" applyFont="1" applyBorder="1" applyAlignment="1">
      <alignment horizontal="center" vertical="center"/>
    </xf>
    <xf numFmtId="1" fontId="6" fillId="0" borderId="2" xfId="0" applyNumberFormat="1" applyFont="1" applyBorder="1" applyAlignment="1">
      <alignment horizontal="center" vertical="center" wrapText="1"/>
    </xf>
    <xf numFmtId="165" fontId="6" fillId="2" borderId="2" xfId="1" applyNumberFormat="1" applyFont="1" applyFill="1" applyBorder="1"/>
    <xf numFmtId="165" fontId="27" fillId="2" borderId="2" xfId="1" applyNumberFormat="1" applyFont="1" applyFill="1" applyBorder="1"/>
    <xf numFmtId="165" fontId="27" fillId="2" borderId="1" xfId="1" applyNumberFormat="1" applyFont="1" applyFill="1" applyBorder="1"/>
    <xf numFmtId="0" fontId="14" fillId="0" borderId="8" xfId="0" applyFont="1" applyBorder="1" applyAlignment="1">
      <alignment vertical="center" wrapText="1"/>
    </xf>
    <xf numFmtId="0" fontId="43" fillId="0" borderId="2" xfId="3" applyFont="1" applyBorder="1" applyAlignment="1">
      <alignment horizontal="left" vertical="center" wrapText="1"/>
    </xf>
    <xf numFmtId="0" fontId="44" fillId="0" borderId="0" xfId="0" applyFont="1"/>
    <xf numFmtId="0" fontId="45" fillId="0" borderId="2" xfId="5" applyFont="1" applyBorder="1" applyAlignment="1">
      <alignment wrapText="1"/>
    </xf>
    <xf numFmtId="0" fontId="44" fillId="8" borderId="2" xfId="5" applyFont="1" applyFill="1" applyBorder="1" applyAlignment="1">
      <alignment wrapText="1"/>
    </xf>
    <xf numFmtId="0" fontId="44" fillId="5" borderId="2" xfId="5" applyFont="1" applyFill="1" applyBorder="1" applyAlignment="1">
      <alignment wrapText="1"/>
    </xf>
    <xf numFmtId="0" fontId="44" fillId="0" borderId="2" xfId="5" applyFont="1" applyBorder="1" applyAlignment="1">
      <alignment wrapText="1"/>
    </xf>
    <xf numFmtId="0" fontId="44" fillId="6" borderId="2" xfId="5" applyFont="1" applyFill="1" applyBorder="1" applyAlignment="1">
      <alignment wrapText="1"/>
    </xf>
    <xf numFmtId="0" fontId="44" fillId="10" borderId="2" xfId="5" applyFont="1" applyFill="1" applyBorder="1" applyAlignment="1">
      <alignment wrapText="1"/>
    </xf>
    <xf numFmtId="0" fontId="44" fillId="7" borderId="2" xfId="5" applyFont="1" applyFill="1" applyBorder="1" applyAlignment="1">
      <alignment wrapText="1"/>
    </xf>
    <xf numFmtId="0" fontId="44" fillId="2" borderId="2" xfId="5" applyFont="1" applyFill="1" applyBorder="1" applyAlignment="1">
      <alignment wrapText="1"/>
    </xf>
    <xf numFmtId="0" fontId="44" fillId="2" borderId="2" xfId="6" applyFont="1" applyFill="1" applyBorder="1" applyAlignment="1">
      <alignment wrapText="1"/>
    </xf>
    <xf numFmtId="0" fontId="44" fillId="0" borderId="2" xfId="6" applyFont="1" applyBorder="1" applyAlignment="1">
      <alignment wrapText="1"/>
    </xf>
    <xf numFmtId="0" fontId="46" fillId="0" borderId="0" xfId="0" applyFont="1" applyAlignment="1">
      <alignment vertical="center"/>
    </xf>
    <xf numFmtId="0" fontId="46" fillId="0" borderId="19" xfId="0" applyFont="1" applyBorder="1" applyAlignment="1">
      <alignment vertical="center" wrapText="1"/>
    </xf>
    <xf numFmtId="0" fontId="44" fillId="0" borderId="9" xfId="0" applyFont="1" applyBorder="1" applyAlignment="1">
      <alignment vertical="center" wrapText="1"/>
    </xf>
    <xf numFmtId="0" fontId="46" fillId="0" borderId="9" xfId="0" applyFont="1" applyBorder="1" applyAlignment="1">
      <alignment vertical="center" wrapText="1"/>
    </xf>
    <xf numFmtId="0" fontId="47" fillId="0" borderId="0" xfId="5" applyFont="1" applyAlignment="1">
      <alignment horizontal="center" wrapText="1"/>
    </xf>
    <xf numFmtId="0" fontId="4" fillId="0" borderId="0" xfId="5" applyFont="1"/>
    <xf numFmtId="0" fontId="48" fillId="0" borderId="0" xfId="0" applyFont="1"/>
    <xf numFmtId="0" fontId="22" fillId="0" borderId="2" xfId="5" applyFont="1" applyBorder="1"/>
    <xf numFmtId="0" fontId="22" fillId="9" borderId="2" xfId="5" applyFont="1" applyFill="1" applyBorder="1"/>
    <xf numFmtId="0" fontId="45" fillId="3" borderId="2" xfId="5" applyFont="1" applyFill="1" applyBorder="1"/>
    <xf numFmtId="0" fontId="4" fillId="8" borderId="2" xfId="5" applyFont="1" applyFill="1" applyBorder="1"/>
    <xf numFmtId="0" fontId="4" fillId="10" borderId="2" xfId="5" applyFont="1" applyFill="1" applyBorder="1"/>
    <xf numFmtId="0" fontId="4" fillId="9" borderId="2" xfId="5" applyFont="1" applyFill="1" applyBorder="1"/>
    <xf numFmtId="0" fontId="44" fillId="3" borderId="2" xfId="0" applyFont="1" applyFill="1" applyBorder="1" applyAlignment="1">
      <alignment wrapText="1"/>
    </xf>
    <xf numFmtId="0" fontId="4" fillId="5" borderId="2" xfId="5" applyFont="1" applyFill="1" applyBorder="1"/>
    <xf numFmtId="0" fontId="4" fillId="4" borderId="2" xfId="5" applyFont="1" applyFill="1" applyBorder="1"/>
    <xf numFmtId="0" fontId="4" fillId="0" borderId="2" xfId="5" applyFont="1" applyBorder="1"/>
    <xf numFmtId="0" fontId="44" fillId="3" borderId="2" xfId="0" applyFont="1" applyFill="1" applyBorder="1"/>
    <xf numFmtId="0" fontId="4" fillId="7" borderId="2" xfId="5" applyFont="1" applyFill="1" applyBorder="1"/>
    <xf numFmtId="0" fontId="4" fillId="6" borderId="2" xfId="5" applyFont="1" applyFill="1" applyBorder="1"/>
    <xf numFmtId="0" fontId="4" fillId="2" borderId="2" xfId="5" applyFont="1" applyFill="1" applyBorder="1"/>
    <xf numFmtId="1" fontId="4" fillId="6" borderId="2" xfId="5" applyNumberFormat="1" applyFont="1" applyFill="1" applyBorder="1"/>
    <xf numFmtId="0" fontId="4" fillId="2" borderId="2" xfId="6" applyFont="1" applyFill="1" applyBorder="1"/>
    <xf numFmtId="0" fontId="4" fillId="4" borderId="2" xfId="6" applyFont="1" applyFill="1" applyBorder="1"/>
    <xf numFmtId="0" fontId="4" fillId="4" borderId="2" xfId="6" applyFont="1" applyFill="1" applyBorder="1" applyAlignment="1">
      <alignment horizontal="center"/>
    </xf>
    <xf numFmtId="1" fontId="4" fillId="4" borderId="2" xfId="6" applyNumberFormat="1" applyFont="1" applyFill="1" applyBorder="1" applyAlignment="1">
      <alignment horizontal="center"/>
    </xf>
    <xf numFmtId="0" fontId="4" fillId="0" borderId="2" xfId="6" applyFont="1" applyBorder="1"/>
    <xf numFmtId="0" fontId="49" fillId="3" borderId="2" xfId="0" applyFont="1" applyFill="1" applyBorder="1" applyAlignment="1">
      <alignment wrapText="1"/>
    </xf>
    <xf numFmtId="1" fontId="4" fillId="4" borderId="2" xfId="5" applyNumberFormat="1" applyFont="1" applyFill="1" applyBorder="1"/>
    <xf numFmtId="0" fontId="50" fillId="0" borderId="0" xfId="5" applyFont="1"/>
    <xf numFmtId="0" fontId="44" fillId="0" borderId="8" xfId="0" applyFont="1" applyBorder="1" applyAlignment="1">
      <alignment horizontal="center" vertical="center" wrapText="1"/>
    </xf>
    <xf numFmtId="0" fontId="44" fillId="0" borderId="19" xfId="0" applyFont="1" applyBorder="1" applyAlignment="1">
      <alignment horizontal="center" vertical="center" wrapText="1"/>
    </xf>
    <xf numFmtId="165" fontId="49" fillId="0" borderId="10" xfId="0" applyNumberFormat="1" applyFont="1" applyBorder="1" applyAlignment="1">
      <alignment vertical="center" wrapText="1"/>
    </xf>
    <xf numFmtId="165" fontId="44" fillId="0" borderId="10" xfId="0" applyNumberFormat="1" applyFont="1" applyBorder="1" applyAlignment="1">
      <alignment vertical="center" wrapText="1"/>
    </xf>
    <xf numFmtId="165" fontId="44" fillId="0" borderId="31" xfId="0" applyNumberFormat="1" applyFont="1" applyBorder="1" applyAlignment="1">
      <alignment vertical="center" wrapText="1"/>
    </xf>
    <xf numFmtId="0" fontId="44" fillId="0" borderId="36" xfId="0" applyFont="1" applyBorder="1"/>
    <xf numFmtId="165" fontId="51" fillId="0" borderId="10" xfId="0" applyNumberFormat="1" applyFont="1" applyBorder="1" applyAlignment="1">
      <alignment vertical="center" wrapText="1"/>
    </xf>
    <xf numFmtId="165" fontId="44" fillId="0" borderId="36" xfId="0" applyNumberFormat="1" applyFont="1" applyBorder="1" applyAlignment="1">
      <alignment vertical="center" wrapText="1"/>
    </xf>
    <xf numFmtId="0" fontId="22" fillId="0" borderId="2" xfId="5" applyFont="1" applyBorder="1" applyAlignment="1">
      <alignment horizontal="center"/>
    </xf>
    <xf numFmtId="0" fontId="4" fillId="8" borderId="2" xfId="5" applyFont="1" applyFill="1" applyBorder="1" applyAlignment="1">
      <alignment horizontal="center"/>
    </xf>
    <xf numFmtId="0" fontId="4" fillId="5" borderId="2" xfId="5" applyFont="1" applyFill="1" applyBorder="1" applyAlignment="1">
      <alignment horizontal="center"/>
    </xf>
    <xf numFmtId="0" fontId="4" fillId="4" borderId="2" xfId="5" applyFont="1" applyFill="1" applyBorder="1" applyAlignment="1">
      <alignment horizontal="center"/>
    </xf>
    <xf numFmtId="0" fontId="4" fillId="7" borderId="2" xfId="5" applyFont="1" applyFill="1" applyBorder="1" applyAlignment="1">
      <alignment horizontal="center"/>
    </xf>
    <xf numFmtId="0" fontId="4" fillId="6" borderId="2" xfId="5" applyFont="1" applyFill="1" applyBorder="1" applyAlignment="1">
      <alignment horizontal="center"/>
    </xf>
    <xf numFmtId="0" fontId="4" fillId="0" borderId="2" xfId="5" applyFont="1" applyBorder="1" applyAlignment="1">
      <alignment horizontal="center"/>
    </xf>
    <xf numFmtId="0" fontId="4" fillId="10" borderId="2" xfId="5" applyFont="1" applyFill="1" applyBorder="1" applyAlignment="1">
      <alignment horizontal="center"/>
    </xf>
    <xf numFmtId="0" fontId="4" fillId="2" borderId="2" xfId="5" applyFont="1" applyFill="1" applyBorder="1" applyAlignment="1">
      <alignment horizontal="center"/>
    </xf>
    <xf numFmtId="165" fontId="44" fillId="0" borderId="10" xfId="0" applyNumberFormat="1" applyFont="1" applyBorder="1" applyAlignment="1">
      <alignment horizontal="center" vertical="center" wrapText="1"/>
    </xf>
    <xf numFmtId="165" fontId="49" fillId="0" borderId="10" xfId="0" applyNumberFormat="1" applyFont="1" applyBorder="1" applyAlignment="1">
      <alignment horizontal="center" vertical="center" wrapText="1"/>
    </xf>
    <xf numFmtId="165" fontId="51" fillId="0" borderId="10" xfId="0" applyNumberFormat="1" applyFont="1" applyBorder="1" applyAlignment="1">
      <alignment horizontal="center" vertical="center" wrapText="1"/>
    </xf>
    <xf numFmtId="0" fontId="19" fillId="11" borderId="2" xfId="5" applyFont="1" applyFill="1" applyBorder="1"/>
    <xf numFmtId="0" fontId="4" fillId="11" borderId="2" xfId="5" applyFont="1" applyFill="1" applyBorder="1"/>
    <xf numFmtId="1" fontId="4" fillId="11" borderId="2" xfId="5" applyNumberFormat="1" applyFont="1" applyFill="1" applyBorder="1"/>
    <xf numFmtId="0" fontId="46" fillId="0" borderId="2" xfId="5" applyFont="1" applyBorder="1" applyAlignment="1">
      <alignment wrapText="1"/>
    </xf>
    <xf numFmtId="0" fontId="46" fillId="0" borderId="2" xfId="5" applyFont="1" applyBorder="1"/>
    <xf numFmtId="0" fontId="26" fillId="0" borderId="0" xfId="0" applyFont="1"/>
    <xf numFmtId="0" fontId="53" fillId="0" borderId="8" xfId="0" applyFont="1" applyBorder="1" applyAlignment="1">
      <alignment vertical="center" wrapText="1"/>
    </xf>
    <xf numFmtId="0" fontId="26" fillId="0" borderId="0" xfId="0" applyFont="1" applyAlignment="1">
      <alignment vertical="center" wrapText="1"/>
    </xf>
    <xf numFmtId="0" fontId="52" fillId="0" borderId="10" xfId="0" applyFont="1" applyBorder="1" applyAlignment="1">
      <alignment vertical="center" wrapText="1"/>
    </xf>
    <xf numFmtId="165" fontId="52" fillId="0" borderId="10" xfId="1" applyNumberFormat="1" applyFont="1" applyBorder="1" applyAlignment="1">
      <alignment horizontal="center" vertical="center" wrapText="1"/>
    </xf>
    <xf numFmtId="164" fontId="52" fillId="0" borderId="10" xfId="0" applyNumberFormat="1" applyFont="1" applyBorder="1" applyAlignment="1">
      <alignment vertical="center" wrapText="1"/>
    </xf>
    <xf numFmtId="0" fontId="54" fillId="0" borderId="0" xfId="0" applyFont="1" applyAlignment="1">
      <alignment vertical="center" wrapText="1"/>
    </xf>
    <xf numFmtId="0" fontId="55" fillId="0" borderId="10" xfId="0" applyFont="1" applyBorder="1" applyAlignment="1">
      <alignment vertical="center" wrapText="1"/>
    </xf>
    <xf numFmtId="165" fontId="54" fillId="0" borderId="10" xfId="1" applyNumberFormat="1" applyFont="1" applyBorder="1" applyAlignment="1">
      <alignment horizontal="center" vertical="top" wrapText="1"/>
    </xf>
    <xf numFmtId="164" fontId="54" fillId="0" borderId="10" xfId="1" applyNumberFormat="1" applyFont="1" applyBorder="1" applyAlignment="1">
      <alignment horizontal="center" vertical="top" wrapText="1"/>
    </xf>
    <xf numFmtId="0" fontId="53" fillId="0" borderId="10" xfId="0" applyFont="1" applyBorder="1" applyAlignment="1">
      <alignment vertical="center" wrapText="1"/>
    </xf>
    <xf numFmtId="0" fontId="52" fillId="0" borderId="10" xfId="0" applyFont="1" applyBorder="1" applyAlignment="1">
      <alignment horizontal="center" vertical="center" wrapText="1"/>
    </xf>
    <xf numFmtId="165" fontId="52" fillId="0" borderId="10" xfId="0" applyNumberFormat="1" applyFont="1" applyBorder="1" applyAlignment="1">
      <alignment vertical="center" wrapText="1"/>
    </xf>
    <xf numFmtId="165" fontId="54" fillId="0" borderId="10" xfId="1" applyNumberFormat="1" applyFont="1" applyBorder="1" applyAlignment="1">
      <alignment horizontal="center" vertical="center" wrapText="1"/>
    </xf>
    <xf numFmtId="0" fontId="54" fillId="0" borderId="0" xfId="0" applyFont="1"/>
    <xf numFmtId="165" fontId="26" fillId="0" borderId="0" xfId="0" applyNumberFormat="1" applyFont="1" applyAlignment="1">
      <alignment vertical="center" wrapText="1"/>
    </xf>
    <xf numFmtId="165" fontId="26" fillId="0" borderId="0" xfId="0" applyNumberFormat="1" applyFont="1"/>
    <xf numFmtId="0" fontId="54" fillId="0" borderId="9" xfId="0" applyFont="1" applyBorder="1" applyAlignment="1">
      <alignment horizontal="center" vertical="center" wrapText="1"/>
    </xf>
    <xf numFmtId="165" fontId="54" fillId="0" borderId="10" xfId="0" applyNumberFormat="1" applyFont="1" applyBorder="1" applyAlignment="1">
      <alignment horizontal="center" vertical="top" wrapText="1"/>
    </xf>
    <xf numFmtId="0" fontId="52" fillId="0" borderId="0" xfId="0" applyFont="1" applyAlignment="1">
      <alignment vertical="center" wrapText="1"/>
    </xf>
    <xf numFmtId="165" fontId="54" fillId="0" borderId="10" xfId="1" applyNumberFormat="1" applyFont="1" applyBorder="1" applyAlignment="1">
      <alignment vertical="center" wrapText="1"/>
    </xf>
    <xf numFmtId="165" fontId="54" fillId="0" borderId="10" xfId="1" applyNumberFormat="1" applyFont="1" applyBorder="1" applyAlignment="1">
      <alignment vertical="top" wrapText="1"/>
    </xf>
    <xf numFmtId="165" fontId="54" fillId="0" borderId="0" xfId="1" applyNumberFormat="1" applyFont="1" applyAlignment="1">
      <alignment vertical="center" wrapText="1"/>
    </xf>
    <xf numFmtId="165" fontId="54" fillId="0" borderId="0" xfId="1" applyNumberFormat="1" applyFont="1"/>
    <xf numFmtId="0" fontId="26" fillId="3" borderId="0" xfId="0" applyFont="1" applyFill="1" applyAlignment="1">
      <alignment vertical="center" wrapText="1"/>
    </xf>
    <xf numFmtId="0" fontId="54" fillId="0" borderId="10" xfId="0" applyFont="1" applyBorder="1" applyAlignment="1">
      <alignment horizontal="center" vertical="top" wrapText="1"/>
    </xf>
    <xf numFmtId="0" fontId="54" fillId="0" borderId="10" xfId="0" applyFont="1" applyBorder="1" applyAlignment="1">
      <alignment vertical="top" wrapText="1"/>
    </xf>
    <xf numFmtId="0" fontId="53" fillId="0" borderId="32" xfId="0" applyFont="1" applyBorder="1" applyAlignment="1">
      <alignment vertical="center" wrapText="1"/>
    </xf>
    <xf numFmtId="165" fontId="26" fillId="0" borderId="31" xfId="1" applyNumberFormat="1" applyFont="1" applyBorder="1" applyAlignment="1">
      <alignment horizontal="center" vertical="top" wrapText="1"/>
    </xf>
    <xf numFmtId="0" fontId="52" fillId="0" borderId="2" xfId="0" applyFont="1" applyBorder="1" applyAlignment="1">
      <alignment vertical="center" wrapText="1"/>
    </xf>
    <xf numFmtId="0" fontId="52" fillId="0" borderId="31" xfId="0" applyFont="1" applyBorder="1" applyAlignment="1">
      <alignment horizontal="center" vertical="center" wrapText="1"/>
    </xf>
    <xf numFmtId="165" fontId="55" fillId="0" borderId="10" xfId="1" applyNumberFormat="1" applyFont="1" applyBorder="1" applyAlignment="1">
      <alignment vertical="center" wrapText="1"/>
    </xf>
    <xf numFmtId="165" fontId="55" fillId="0" borderId="10" xfId="1" applyNumberFormat="1" applyFont="1" applyBorder="1" applyAlignment="1">
      <alignment horizontal="center" vertical="top" wrapText="1"/>
    </xf>
    <xf numFmtId="165" fontId="55" fillId="0" borderId="0" xfId="1" applyNumberFormat="1" applyFont="1" applyAlignment="1">
      <alignment vertical="center" wrapText="1"/>
    </xf>
    <xf numFmtId="0" fontId="26" fillId="0" borderId="10" xfId="0" applyFont="1" applyBorder="1" applyAlignment="1">
      <alignment horizontal="center" vertical="top" wrapText="1"/>
    </xf>
    <xf numFmtId="0" fontId="54" fillId="0" borderId="10" xfId="0" applyFont="1" applyBorder="1" applyAlignment="1">
      <alignment vertical="center" wrapText="1"/>
    </xf>
    <xf numFmtId="165" fontId="26" fillId="0" borderId="10" xfId="0" applyNumberFormat="1" applyFont="1" applyBorder="1" applyAlignment="1">
      <alignment horizontal="center" vertical="top" wrapText="1"/>
    </xf>
    <xf numFmtId="165" fontId="54" fillId="0" borderId="0" xfId="0" applyNumberFormat="1" applyFont="1"/>
    <xf numFmtId="165" fontId="54" fillId="0" borderId="10" xfId="0" applyNumberFormat="1" applyFont="1" applyBorder="1" applyAlignment="1">
      <alignment vertical="top" wrapText="1"/>
    </xf>
    <xf numFmtId="165" fontId="26" fillId="0" borderId="0" xfId="0" applyNumberFormat="1" applyFont="1" applyAlignment="1">
      <alignment horizontal="center"/>
    </xf>
    <xf numFmtId="0" fontId="28" fillId="0" borderId="0" xfId="0" applyFont="1" applyAlignment="1">
      <alignment horizontal="center" vertical="center" wrapText="1"/>
    </xf>
    <xf numFmtId="0" fontId="28" fillId="0" borderId="0" xfId="0" applyFont="1"/>
    <xf numFmtId="165" fontId="52" fillId="0" borderId="2" xfId="0" applyNumberFormat="1" applyFont="1" applyBorder="1" applyAlignment="1">
      <alignment vertical="center" wrapText="1"/>
    </xf>
    <xf numFmtId="0" fontId="55" fillId="0" borderId="54" xfId="0" applyFont="1" applyBorder="1" applyAlignment="1">
      <alignment vertical="center" wrapText="1"/>
    </xf>
    <xf numFmtId="165" fontId="54" fillId="0" borderId="32" xfId="0" applyNumberFormat="1" applyFont="1" applyBorder="1" applyAlignment="1">
      <alignment horizontal="center" vertical="top" wrapText="1"/>
    </xf>
    <xf numFmtId="0" fontId="26" fillId="0" borderId="0" xfId="0" applyFont="1" applyAlignment="1">
      <alignment horizontal="center"/>
    </xf>
    <xf numFmtId="0" fontId="52" fillId="0" borderId="9" xfId="0" applyFont="1" applyBorder="1" applyAlignment="1">
      <alignment horizontal="center" vertical="center" wrapText="1"/>
    </xf>
    <xf numFmtId="0" fontId="54" fillId="0" borderId="9" xfId="0" applyFont="1" applyBorder="1" applyAlignment="1">
      <alignment horizontal="center" vertical="top" wrapText="1"/>
    </xf>
    <xf numFmtId="165" fontId="54" fillId="0" borderId="9" xfId="1" applyNumberFormat="1" applyFont="1" applyBorder="1" applyAlignment="1">
      <alignment horizontal="center" vertical="center" wrapText="1"/>
    </xf>
    <xf numFmtId="165" fontId="55" fillId="0" borderId="9" xfId="1" applyNumberFormat="1" applyFont="1" applyBorder="1" applyAlignment="1">
      <alignment horizontal="center" vertical="top" wrapText="1"/>
    </xf>
    <xf numFmtId="0" fontId="54" fillId="0" borderId="53" xfId="0" applyFont="1" applyBorder="1" applyAlignment="1">
      <alignment horizontal="center" vertical="center" wrapText="1"/>
    </xf>
    <xf numFmtId="165" fontId="28" fillId="0" borderId="23" xfId="0" applyNumberFormat="1" applyFont="1" applyBorder="1" applyAlignment="1">
      <alignment horizontal="center"/>
    </xf>
    <xf numFmtId="165" fontId="28" fillId="0" borderId="22" xfId="0" applyNumberFormat="1" applyFont="1" applyBorder="1"/>
    <xf numFmtId="0" fontId="14" fillId="0" borderId="19"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48" xfId="0" applyFont="1" applyBorder="1" applyAlignment="1">
      <alignment vertical="center" wrapText="1"/>
    </xf>
    <xf numFmtId="165" fontId="28" fillId="0" borderId="23" xfId="1" applyNumberFormat="1" applyFont="1" applyBorder="1"/>
    <xf numFmtId="165" fontId="52" fillId="0" borderId="3" xfId="1" applyNumberFormat="1" applyFont="1" applyBorder="1" applyAlignment="1">
      <alignment vertical="center" wrapText="1"/>
    </xf>
    <xf numFmtId="0" fontId="38" fillId="0" borderId="50" xfId="0" applyFont="1" applyBorder="1" applyAlignment="1">
      <alignment horizontal="center" vertical="center" wrapText="1"/>
    </xf>
    <xf numFmtId="0" fontId="38" fillId="0" borderId="31" xfId="0" applyFont="1" applyBorder="1" applyAlignment="1">
      <alignment horizontal="center" vertical="center" wrapText="1"/>
    </xf>
    <xf numFmtId="0" fontId="32" fillId="0" borderId="46" xfId="0" applyFont="1" applyBorder="1" applyAlignment="1">
      <alignment horizontal="center" wrapText="1"/>
    </xf>
    <xf numFmtId="0" fontId="32" fillId="0" borderId="29" xfId="0" applyFont="1" applyBorder="1" applyAlignment="1">
      <alignment horizontal="center" wrapText="1"/>
    </xf>
    <xf numFmtId="0" fontId="32" fillId="0" borderId="30" xfId="0" applyFont="1" applyBorder="1" applyAlignment="1">
      <alignment horizontal="center" wrapText="1"/>
    </xf>
    <xf numFmtId="0" fontId="28" fillId="0" borderId="51" xfId="0" applyFont="1" applyBorder="1" applyAlignment="1">
      <alignment horizontal="center"/>
    </xf>
    <xf numFmtId="0" fontId="28" fillId="0" borderId="55" xfId="0" applyFont="1" applyBorder="1" applyAlignment="1">
      <alignment horizontal="center"/>
    </xf>
    <xf numFmtId="0" fontId="53" fillId="0" borderId="51" xfId="0" applyFont="1" applyBorder="1" applyAlignment="1">
      <alignment vertical="center" wrapText="1"/>
    </xf>
    <xf numFmtId="0" fontId="53" fillId="0" borderId="52" xfId="0" applyFont="1" applyBorder="1" applyAlignment="1">
      <alignment vertical="center" wrapText="1"/>
    </xf>
    <xf numFmtId="0" fontId="53" fillId="0" borderId="8" xfId="0" applyFont="1" applyBorder="1" applyAlignment="1">
      <alignment vertical="center" wrapText="1"/>
    </xf>
    <xf numFmtId="0" fontId="53" fillId="0" borderId="51" xfId="0" applyFont="1" applyBorder="1" applyAlignment="1">
      <alignment horizontal="left" vertical="center" wrapText="1"/>
    </xf>
    <xf numFmtId="0" fontId="53" fillId="0" borderId="52" xfId="0" applyFont="1" applyBorder="1" applyAlignment="1">
      <alignment horizontal="left" vertical="center" wrapText="1"/>
    </xf>
    <xf numFmtId="0" fontId="53" fillId="0" borderId="8" xfId="0" applyFont="1" applyBorder="1" applyAlignment="1">
      <alignment horizontal="left" vertical="center" wrapText="1"/>
    </xf>
    <xf numFmtId="0" fontId="47" fillId="0" borderId="0" xfId="5" applyFont="1" applyAlignment="1">
      <alignment horizontal="center" wrapText="1"/>
    </xf>
    <xf numFmtId="0" fontId="49" fillId="3" borderId="41" xfId="0" applyFont="1" applyFill="1" applyBorder="1" applyAlignment="1">
      <alignment horizontal="center" wrapText="1"/>
    </xf>
    <xf numFmtId="0" fontId="49" fillId="3" borderId="20" xfId="0" applyFont="1" applyFill="1" applyBorder="1" applyAlignment="1">
      <alignment horizontal="center" wrapText="1"/>
    </xf>
    <xf numFmtId="165" fontId="6" fillId="0" borderId="4" xfId="1" applyNumberFormat="1" applyFont="1" applyBorder="1" applyAlignment="1">
      <alignment horizontal="left" vertical="center" wrapText="1"/>
    </xf>
    <xf numFmtId="165" fontId="6" fillId="0" borderId="5" xfId="1" applyNumberFormat="1" applyFont="1" applyBorder="1" applyAlignment="1">
      <alignment horizontal="left" vertical="center" wrapText="1"/>
    </xf>
    <xf numFmtId="165" fontId="6" fillId="0" borderId="6" xfId="1" applyNumberFormat="1" applyFont="1" applyBorder="1" applyAlignment="1">
      <alignment horizontal="left" vertical="center" wrapText="1"/>
    </xf>
    <xf numFmtId="0" fontId="6" fillId="0" borderId="29" xfId="0" applyFont="1" applyBorder="1" applyAlignment="1">
      <alignment horizontal="left" vertical="center" wrapText="1"/>
    </xf>
    <xf numFmtId="0" fontId="6" fillId="0" borderId="30" xfId="0" applyFont="1" applyBorder="1" applyAlignment="1">
      <alignment horizontal="left" vertical="center" wrapText="1"/>
    </xf>
    <xf numFmtId="165" fontId="6" fillId="0" borderId="0" xfId="1" applyNumberFormat="1" applyFont="1" applyAlignment="1">
      <alignment horizontal="left" vertical="center" wrapText="1"/>
    </xf>
    <xf numFmtId="0" fontId="4" fillId="0" borderId="25" xfId="0" applyFont="1" applyBorder="1" applyAlignment="1">
      <alignment horizontal="center" vertical="top"/>
    </xf>
    <xf numFmtId="0" fontId="4" fillId="0" borderId="26" xfId="0" applyFont="1" applyBorder="1" applyAlignment="1">
      <alignment horizontal="center" vertical="top"/>
    </xf>
    <xf numFmtId="0" fontId="4" fillId="0" borderId="18" xfId="0" applyFont="1" applyBorder="1" applyAlignment="1">
      <alignment horizontal="center" vertical="top"/>
    </xf>
    <xf numFmtId="0" fontId="4" fillId="0" borderId="0" xfId="0" applyFont="1" applyAlignment="1">
      <alignment horizontal="center" vertical="top"/>
    </xf>
    <xf numFmtId="0" fontId="6" fillId="0" borderId="0" xfId="0" applyFont="1" applyAlignment="1">
      <alignment horizontal="left"/>
    </xf>
    <xf numFmtId="0" fontId="4" fillId="0" borderId="0" xfId="0" applyFont="1" applyAlignment="1">
      <alignment horizontal="left"/>
    </xf>
    <xf numFmtId="0" fontId="22" fillId="0" borderId="0" xfId="0" applyFont="1" applyAlignment="1">
      <alignment horizontal="center" vertical="center" wrapText="1"/>
    </xf>
    <xf numFmtId="0" fontId="20" fillId="0" borderId="4" xfId="0" applyFont="1" applyBorder="1" applyAlignment="1">
      <alignment horizontal="left" vertical="center" wrapText="1"/>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20" fillId="0" borderId="40" xfId="0" applyFont="1" applyBorder="1" applyAlignment="1">
      <alignment horizontal="left" vertical="center" wrapText="1"/>
    </xf>
    <xf numFmtId="0" fontId="20" fillId="0" borderId="7" xfId="0" applyFont="1" applyBorder="1" applyAlignment="1">
      <alignment horizontal="left" vertical="center" wrapText="1"/>
    </xf>
    <xf numFmtId="0" fontId="20" fillId="0" borderId="27" xfId="0" applyFont="1" applyBorder="1" applyAlignment="1">
      <alignment horizontal="left" vertical="center" wrapText="1"/>
    </xf>
    <xf numFmtId="0" fontId="6" fillId="0" borderId="0" xfId="0" applyFont="1" applyAlignment="1">
      <alignment horizontal="center" vertical="center"/>
    </xf>
    <xf numFmtId="0" fontId="4" fillId="0" borderId="0" xfId="0" applyFont="1" applyAlignment="1">
      <alignment horizontal="center" vertical="center" wrapText="1"/>
    </xf>
    <xf numFmtId="165" fontId="6" fillId="0" borderId="0" xfId="1" applyNumberFormat="1"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8" xfId="0" applyFont="1" applyBorder="1" applyAlignment="1">
      <alignment horizontal="center" vertical="center"/>
    </xf>
    <xf numFmtId="0" fontId="3" fillId="0" borderId="49" xfId="0" applyFont="1" applyBorder="1" applyAlignment="1">
      <alignment horizontal="center" vertical="center"/>
    </xf>
    <xf numFmtId="165" fontId="4" fillId="0" borderId="0" xfId="1" applyNumberFormat="1" applyFont="1" applyAlignment="1">
      <alignment horizontal="left" vertical="center" wrapText="1"/>
    </xf>
    <xf numFmtId="0" fontId="20" fillId="0" borderId="0" xfId="0" applyFont="1" applyAlignment="1">
      <alignment horizontal="left" vertical="center"/>
    </xf>
    <xf numFmtId="0" fontId="20" fillId="0" borderId="31" xfId="0" applyFont="1" applyBorder="1" applyAlignment="1">
      <alignment horizontal="left" vertical="center"/>
    </xf>
    <xf numFmtId="0" fontId="3" fillId="0" borderId="39"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165" fontId="26" fillId="0" borderId="0" xfId="1" applyNumberFormat="1" applyFont="1" applyAlignment="1">
      <alignment horizontal="left" vertical="center" wrapText="1"/>
    </xf>
    <xf numFmtId="165" fontId="6" fillId="0" borderId="4" xfId="1" applyNumberFormat="1" applyFont="1" applyBorder="1" applyAlignment="1">
      <alignment horizontal="center" vertical="center" wrapText="1"/>
    </xf>
    <xf numFmtId="165" fontId="6" fillId="0" borderId="6" xfId="1" applyNumberFormat="1" applyFont="1" applyBorder="1" applyAlignment="1">
      <alignment horizontal="center" vertical="center" wrapText="1"/>
    </xf>
    <xf numFmtId="165" fontId="6" fillId="0" borderId="21" xfId="1" applyNumberFormat="1" applyFont="1" applyBorder="1" applyAlignment="1">
      <alignment horizontal="center" vertical="center" wrapText="1"/>
    </xf>
    <xf numFmtId="165" fontId="6" fillId="0" borderId="23" xfId="1" applyNumberFormat="1" applyFont="1" applyBorder="1" applyAlignment="1">
      <alignment horizontal="center" vertical="center" wrapText="1"/>
    </xf>
    <xf numFmtId="0" fontId="22" fillId="0" borderId="2"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42" xfId="0" applyFont="1" applyBorder="1" applyAlignment="1">
      <alignment horizontal="center"/>
    </xf>
    <xf numFmtId="0" fontId="4" fillId="0" borderId="27" xfId="0" applyFont="1" applyBorder="1" applyAlignment="1">
      <alignment horizontal="center"/>
    </xf>
  </cellXfs>
  <cellStyles count="7">
    <cellStyle name="Hyperlink" xfId="3" builtinId="8"/>
    <cellStyle name="Normal" xfId="0" builtinId="0"/>
    <cellStyle name="Normal 2" xfId="4" xr:uid="{00000000-0005-0000-0000-000003000000}"/>
    <cellStyle name="Normal 3" xfId="5" xr:uid="{00000000-0005-0000-0000-000004000000}"/>
    <cellStyle name="Normal 3 2" xfId="6" xr:uid="{00000000-0005-0000-0000-000005000000}"/>
    <cellStyle name="Procent" xfId="2" builtinId="5"/>
    <cellStyle name="Virgulă"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o-R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15316163604549432"/>
          <c:w val="0.93888888888888888"/>
          <c:h val="0.7866531787693205"/>
        </c:manualLayout>
      </c:layout>
      <c:barChart>
        <c:barDir val="col"/>
        <c:grouping val="clustered"/>
        <c:varyColors val="0"/>
        <c:ser>
          <c:idx val="0"/>
          <c:order val="0"/>
          <c:tx>
            <c:strRef>
              <c:f>'SCV - diasp'!$G$21</c:f>
              <c:strCache>
                <c:ptCount val="1"/>
                <c:pt idx="0">
                  <c:v>Venituri Totale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diasp'!$H$20:$J$20</c:f>
              <c:strCache>
                <c:ptCount val="3"/>
                <c:pt idx="0">
                  <c:v>An 2019</c:v>
                </c:pt>
                <c:pt idx="1">
                  <c:v>An 2020</c:v>
                </c:pt>
                <c:pt idx="2">
                  <c:v>An 2021</c:v>
                </c:pt>
              </c:strCache>
            </c:strRef>
          </c:cat>
          <c:val>
            <c:numRef>
              <c:f>'SCV - diasp'!$H$21:$J$21</c:f>
              <c:numCache>
                <c:formatCode>#,##0</c:formatCode>
                <c:ptCount val="3"/>
                <c:pt idx="0">
                  <c:v>380000</c:v>
                </c:pt>
                <c:pt idx="1">
                  <c:v>420000</c:v>
                </c:pt>
                <c:pt idx="2">
                  <c:v>500000</c:v>
                </c:pt>
              </c:numCache>
            </c:numRef>
          </c:val>
          <c:extLst>
            <c:ext xmlns:c16="http://schemas.microsoft.com/office/drawing/2014/chart" uri="{C3380CC4-5D6E-409C-BE32-E72D297353CC}">
              <c16:uniqueId val="{00000000-2A31-4CED-9221-8A5BE5433B3F}"/>
            </c:ext>
          </c:extLst>
        </c:ser>
        <c:ser>
          <c:idx val="1"/>
          <c:order val="1"/>
          <c:tx>
            <c:strRef>
              <c:f>'SCV - diasp'!$G$22</c:f>
              <c:strCache>
                <c:ptCount val="1"/>
                <c:pt idx="0">
                  <c:v>Cheltuieli Totale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diasp'!$H$20:$J$20</c:f>
              <c:strCache>
                <c:ptCount val="3"/>
                <c:pt idx="0">
                  <c:v>An 2019</c:v>
                </c:pt>
                <c:pt idx="1">
                  <c:v>An 2020</c:v>
                </c:pt>
                <c:pt idx="2">
                  <c:v>An 2021</c:v>
                </c:pt>
              </c:strCache>
            </c:strRef>
          </c:cat>
          <c:val>
            <c:numRef>
              <c:f>'SCV - diasp'!$H$22:$J$22</c:f>
              <c:numCache>
                <c:formatCode>#,##0</c:formatCode>
                <c:ptCount val="3"/>
                <c:pt idx="0">
                  <c:v>405269</c:v>
                </c:pt>
                <c:pt idx="1">
                  <c:v>391721.33333333331</c:v>
                </c:pt>
                <c:pt idx="2">
                  <c:v>441321.33333333331</c:v>
                </c:pt>
              </c:numCache>
            </c:numRef>
          </c:val>
          <c:extLst>
            <c:ext xmlns:c16="http://schemas.microsoft.com/office/drawing/2014/chart" uri="{C3380CC4-5D6E-409C-BE32-E72D297353CC}">
              <c16:uniqueId val="{00000001-2A31-4CED-9221-8A5BE5433B3F}"/>
            </c:ext>
          </c:extLst>
        </c:ser>
        <c:ser>
          <c:idx val="2"/>
          <c:order val="2"/>
          <c:tx>
            <c:strRef>
              <c:f>'SCV - diasp'!$G$23</c:f>
              <c:strCache>
                <c:ptCount val="1"/>
                <c:pt idx="0">
                  <c:v>Profit/Pierdere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diasp'!$H$20:$J$20</c:f>
              <c:strCache>
                <c:ptCount val="3"/>
                <c:pt idx="0">
                  <c:v>An 2019</c:v>
                </c:pt>
                <c:pt idx="1">
                  <c:v>An 2020</c:v>
                </c:pt>
                <c:pt idx="2">
                  <c:v>An 2021</c:v>
                </c:pt>
              </c:strCache>
            </c:strRef>
          </c:cat>
          <c:val>
            <c:numRef>
              <c:f>'SCV - diasp'!$H$23:$J$23</c:f>
              <c:numCache>
                <c:formatCode>#,##0</c:formatCode>
                <c:ptCount val="3"/>
                <c:pt idx="0">
                  <c:v>-25269</c:v>
                </c:pt>
                <c:pt idx="1">
                  <c:v>28278.666666666686</c:v>
                </c:pt>
                <c:pt idx="2">
                  <c:v>58678.666666666686</c:v>
                </c:pt>
              </c:numCache>
            </c:numRef>
          </c:val>
          <c:extLst>
            <c:ext xmlns:c16="http://schemas.microsoft.com/office/drawing/2014/chart" uri="{C3380CC4-5D6E-409C-BE32-E72D297353CC}">
              <c16:uniqueId val="{00000002-2A31-4CED-9221-8A5BE5433B3F}"/>
            </c:ext>
          </c:extLst>
        </c:ser>
        <c:dLbls>
          <c:showLegendKey val="0"/>
          <c:showVal val="1"/>
          <c:showCatName val="0"/>
          <c:showSerName val="0"/>
          <c:showPercent val="0"/>
          <c:showBubbleSize val="0"/>
        </c:dLbls>
        <c:gapWidth val="150"/>
        <c:overlap val="-25"/>
        <c:axId val="190038784"/>
        <c:axId val="190040320"/>
      </c:barChart>
      <c:catAx>
        <c:axId val="190038784"/>
        <c:scaling>
          <c:orientation val="minMax"/>
        </c:scaling>
        <c:delete val="0"/>
        <c:axPos val="b"/>
        <c:numFmt formatCode="General" sourceLinked="0"/>
        <c:majorTickMark val="none"/>
        <c:minorTickMark val="none"/>
        <c:tickLblPos val="nextTo"/>
        <c:crossAx val="190040320"/>
        <c:crosses val="autoZero"/>
        <c:auto val="1"/>
        <c:lblAlgn val="ctr"/>
        <c:lblOffset val="100"/>
        <c:noMultiLvlLbl val="0"/>
      </c:catAx>
      <c:valAx>
        <c:axId val="190040320"/>
        <c:scaling>
          <c:orientation val="minMax"/>
        </c:scaling>
        <c:delete val="1"/>
        <c:axPos val="l"/>
        <c:numFmt formatCode="#,##0" sourceLinked="1"/>
        <c:majorTickMark val="out"/>
        <c:minorTickMark val="none"/>
        <c:tickLblPos val="nextTo"/>
        <c:crossAx val="190038784"/>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o-RO"/>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'SCV - diasp'!$G$26</c:f>
              <c:strCache>
                <c:ptCount val="1"/>
                <c:pt idx="0">
                  <c:v>marja de profit</c:v>
                </c:pt>
              </c:strCache>
            </c:strRef>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diasp'!$H$25:$J$25</c:f>
              <c:strCache>
                <c:ptCount val="3"/>
                <c:pt idx="0">
                  <c:v>An 2018</c:v>
                </c:pt>
                <c:pt idx="1">
                  <c:v>An 2019</c:v>
                </c:pt>
                <c:pt idx="2">
                  <c:v>An 2020</c:v>
                </c:pt>
              </c:strCache>
            </c:strRef>
          </c:cat>
          <c:val>
            <c:numRef>
              <c:f>'SCV - diasp'!$H$26:$J$26</c:f>
              <c:numCache>
                <c:formatCode>0%</c:formatCode>
                <c:ptCount val="3"/>
                <c:pt idx="0">
                  <c:v>-6.6497368421052638E-2</c:v>
                </c:pt>
                <c:pt idx="1">
                  <c:v>6.7330158730158782E-2</c:v>
                </c:pt>
                <c:pt idx="2">
                  <c:v>0.11735733333333337</c:v>
                </c:pt>
              </c:numCache>
            </c:numRef>
          </c:val>
          <c:smooth val="0"/>
          <c:extLst>
            <c:ext xmlns:c16="http://schemas.microsoft.com/office/drawing/2014/chart" uri="{C3380CC4-5D6E-409C-BE32-E72D297353CC}">
              <c16:uniqueId val="{00000000-2C4B-4BD0-B5A3-E18933C5CDBC}"/>
            </c:ext>
          </c:extLst>
        </c:ser>
        <c:dLbls>
          <c:showLegendKey val="0"/>
          <c:showVal val="1"/>
          <c:showCatName val="0"/>
          <c:showSerName val="0"/>
          <c:showPercent val="0"/>
          <c:showBubbleSize val="0"/>
        </c:dLbls>
        <c:marker val="1"/>
        <c:smooth val="0"/>
        <c:axId val="190793216"/>
        <c:axId val="190796160"/>
      </c:lineChart>
      <c:catAx>
        <c:axId val="190793216"/>
        <c:scaling>
          <c:orientation val="minMax"/>
        </c:scaling>
        <c:delete val="0"/>
        <c:axPos val="b"/>
        <c:numFmt formatCode="General" sourceLinked="0"/>
        <c:majorTickMark val="none"/>
        <c:minorTickMark val="none"/>
        <c:tickLblPos val="nextTo"/>
        <c:crossAx val="190796160"/>
        <c:crosses val="autoZero"/>
        <c:auto val="1"/>
        <c:lblAlgn val="ctr"/>
        <c:lblOffset val="100"/>
        <c:noMultiLvlLbl val="0"/>
      </c:catAx>
      <c:valAx>
        <c:axId val="190796160"/>
        <c:scaling>
          <c:orientation val="minMax"/>
        </c:scaling>
        <c:delete val="1"/>
        <c:axPos val="l"/>
        <c:numFmt formatCode="0%" sourceLinked="1"/>
        <c:majorTickMark val="out"/>
        <c:minorTickMark val="none"/>
        <c:tickLblPos val="nextTo"/>
        <c:crossAx val="190793216"/>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o-R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Venituri</a:t>
            </a:r>
          </a:p>
        </c:rich>
      </c:tx>
      <c:overlay val="0"/>
    </c:title>
    <c:autoTitleDeleted val="0"/>
    <c:plotArea>
      <c:layout/>
      <c:barChart>
        <c:barDir val="col"/>
        <c:grouping val="clustered"/>
        <c:varyColors val="0"/>
        <c:ser>
          <c:idx val="0"/>
          <c:order val="0"/>
          <c:tx>
            <c:strRef>
              <c:f>venituri!$V$6</c:f>
              <c:strCache>
                <c:ptCount val="1"/>
                <c:pt idx="0">
                  <c:v>vanzari  produse pentru animale de companie</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venituri!$W$6:$AB$6</c:f>
              <c:numCache>
                <c:formatCode>_(* #,##0_);_(* \(#,##0\);_(* "-"??_);_(@_)</c:formatCode>
                <c:ptCount val="6"/>
                <c:pt idx="0">
                  <c:v>0</c:v>
                </c:pt>
                <c:pt idx="1">
                  <c:v>15000</c:v>
                </c:pt>
                <c:pt idx="2">
                  <c:v>30000</c:v>
                </c:pt>
                <c:pt idx="3">
                  <c:v>30000</c:v>
                </c:pt>
                <c:pt idx="4">
                  <c:v>75000</c:v>
                </c:pt>
                <c:pt idx="5">
                  <c:v>60000</c:v>
                </c:pt>
              </c:numCache>
            </c:numRef>
          </c:val>
          <c:extLst>
            <c:ext xmlns:c16="http://schemas.microsoft.com/office/drawing/2014/chart" uri="{C3380CC4-5D6E-409C-BE32-E72D297353CC}">
              <c16:uniqueId val="{00000000-BC4F-450D-81A6-FBAD453AF359}"/>
            </c:ext>
          </c:extLst>
        </c:ser>
        <c:ser>
          <c:idx val="1"/>
          <c:order val="1"/>
          <c:tx>
            <c:strRef>
              <c:f>venituri!$V$7</c:f>
              <c:strCache>
                <c:ptCount val="1"/>
                <c:pt idx="0">
                  <c:v>vanzari produse si  unelte  de gradinarit</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venituri!$W$7:$AB$7</c:f>
              <c:numCache>
                <c:formatCode>_(* #,##0_);_(* \(#,##0\);_(* "-"??_);_(@_)</c:formatCode>
                <c:ptCount val="6"/>
                <c:pt idx="0">
                  <c:v>0</c:v>
                </c:pt>
                <c:pt idx="1">
                  <c:v>45000</c:v>
                </c:pt>
                <c:pt idx="2">
                  <c:v>135000</c:v>
                </c:pt>
                <c:pt idx="3">
                  <c:v>60000</c:v>
                </c:pt>
                <c:pt idx="4">
                  <c:v>240000</c:v>
                </c:pt>
                <c:pt idx="5">
                  <c:v>300000</c:v>
                </c:pt>
              </c:numCache>
            </c:numRef>
          </c:val>
          <c:extLst>
            <c:ext xmlns:c16="http://schemas.microsoft.com/office/drawing/2014/chart" uri="{C3380CC4-5D6E-409C-BE32-E72D297353CC}">
              <c16:uniqueId val="{00000001-BC4F-450D-81A6-FBAD453AF359}"/>
            </c:ext>
          </c:extLst>
        </c:ser>
        <c:ser>
          <c:idx val="2"/>
          <c:order val="2"/>
          <c:tx>
            <c:strRef>
              <c:f>venituri!$V$8</c:f>
              <c:strCache>
                <c:ptCount val="1"/>
                <c:pt idx="0">
                  <c:v>vanzari produse  de fito-farmacie</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venituri!$W$8:$AB$8</c:f>
              <c:numCache>
                <c:formatCode>_(* #,##0_);_(* \(#,##0\);_(* "-"??_);_(@_)</c:formatCode>
                <c:ptCount val="6"/>
                <c:pt idx="0">
                  <c:v>0</c:v>
                </c:pt>
                <c:pt idx="1">
                  <c:v>15000</c:v>
                </c:pt>
                <c:pt idx="2">
                  <c:v>30000</c:v>
                </c:pt>
                <c:pt idx="3">
                  <c:v>20000</c:v>
                </c:pt>
                <c:pt idx="4">
                  <c:v>65000</c:v>
                </c:pt>
                <c:pt idx="5">
                  <c:v>60000</c:v>
                </c:pt>
              </c:numCache>
            </c:numRef>
          </c:val>
          <c:extLst>
            <c:ext xmlns:c16="http://schemas.microsoft.com/office/drawing/2014/chart" uri="{C3380CC4-5D6E-409C-BE32-E72D297353CC}">
              <c16:uniqueId val="{00000002-BC4F-450D-81A6-FBAD453AF359}"/>
            </c:ext>
          </c:extLst>
        </c:ser>
        <c:ser>
          <c:idx val="3"/>
          <c:order val="3"/>
          <c:tx>
            <c:strRef>
              <c:f>venituri!$V$9</c:f>
              <c:strCache>
                <c:ptCount val="1"/>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venituri!$W$9:$AB$9</c:f>
              <c:numCache>
                <c:formatCode>_(* #,##0_);_(* \(#,##0\);_(* "-"??_);_(@_)</c:formatCode>
                <c:ptCount val="6"/>
              </c:numCache>
            </c:numRef>
          </c:val>
          <c:extLst>
            <c:ext xmlns:c16="http://schemas.microsoft.com/office/drawing/2014/chart" uri="{C3380CC4-5D6E-409C-BE32-E72D297353CC}">
              <c16:uniqueId val="{00000003-BC4F-450D-81A6-FBAD453AF359}"/>
            </c:ext>
          </c:extLst>
        </c:ser>
        <c:dLbls>
          <c:showLegendKey val="0"/>
          <c:showVal val="0"/>
          <c:showCatName val="0"/>
          <c:showSerName val="0"/>
          <c:showPercent val="0"/>
          <c:showBubbleSize val="0"/>
        </c:dLbls>
        <c:gapWidth val="150"/>
        <c:axId val="191279488"/>
        <c:axId val="191281024"/>
      </c:barChart>
      <c:catAx>
        <c:axId val="191279488"/>
        <c:scaling>
          <c:orientation val="minMax"/>
        </c:scaling>
        <c:delete val="0"/>
        <c:axPos val="b"/>
        <c:numFmt formatCode="General" sourceLinked="0"/>
        <c:majorTickMark val="none"/>
        <c:minorTickMark val="none"/>
        <c:tickLblPos val="nextTo"/>
        <c:crossAx val="191281024"/>
        <c:crosses val="autoZero"/>
        <c:auto val="1"/>
        <c:lblAlgn val="ctr"/>
        <c:lblOffset val="100"/>
        <c:noMultiLvlLbl val="0"/>
      </c:catAx>
      <c:valAx>
        <c:axId val="191281024"/>
        <c:scaling>
          <c:orientation val="minMax"/>
        </c:scaling>
        <c:delete val="0"/>
        <c:axPos val="l"/>
        <c:majorGridlines/>
        <c:numFmt formatCode="_(* #,##0_);_(* \(#,##0\);_(* &quot;-&quot;??_);_(@_)" sourceLinked="1"/>
        <c:majorTickMark val="none"/>
        <c:minorTickMark val="none"/>
        <c:tickLblPos val="nextTo"/>
        <c:crossAx val="19127948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o-R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cheltuieli!$L$29</c:f>
              <c:strCache>
                <c:ptCount val="1"/>
                <c:pt idx="0">
                  <c:v> Ch. Directe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cheltuieli!$M$28:$O$28</c:f>
              <c:strCache>
                <c:ptCount val="3"/>
                <c:pt idx="0">
                  <c:v> An 2019 </c:v>
                </c:pt>
                <c:pt idx="1">
                  <c:v> An 2020 </c:v>
                </c:pt>
                <c:pt idx="2">
                  <c:v> An 2021 </c:v>
                </c:pt>
              </c:strCache>
            </c:strRef>
          </c:cat>
          <c:val>
            <c:numRef>
              <c:f>cheltuieli!$M$29:$O$29</c:f>
              <c:numCache>
                <c:formatCode>_(* #,##0_);_(* \(#,##0\);_(* "-"??_);_(@_)</c:formatCode>
                <c:ptCount val="3"/>
                <c:pt idx="0">
                  <c:v>292400</c:v>
                </c:pt>
                <c:pt idx="1">
                  <c:v>334200</c:v>
                </c:pt>
                <c:pt idx="2">
                  <c:v>387800</c:v>
                </c:pt>
              </c:numCache>
            </c:numRef>
          </c:val>
          <c:extLst>
            <c:ext xmlns:c16="http://schemas.microsoft.com/office/drawing/2014/chart" uri="{C3380CC4-5D6E-409C-BE32-E72D297353CC}">
              <c16:uniqueId val="{00000000-1EC2-4D4B-B6B9-DDDD45F7046B}"/>
            </c:ext>
          </c:extLst>
        </c:ser>
        <c:ser>
          <c:idx val="1"/>
          <c:order val="1"/>
          <c:tx>
            <c:strRef>
              <c:f>cheltuieli!$L$30</c:f>
              <c:strCache>
                <c:ptCount val="1"/>
                <c:pt idx="0">
                  <c:v> Ch. Indirecte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cheltuieli!$M$28:$O$28</c:f>
              <c:strCache>
                <c:ptCount val="3"/>
                <c:pt idx="0">
                  <c:v> An 2019 </c:v>
                </c:pt>
                <c:pt idx="1">
                  <c:v> An 2020 </c:v>
                </c:pt>
                <c:pt idx="2">
                  <c:v> An 2021 </c:v>
                </c:pt>
              </c:strCache>
            </c:strRef>
          </c:cat>
          <c:val>
            <c:numRef>
              <c:f>cheltuieli!$M$30:$O$30</c:f>
              <c:numCache>
                <c:formatCode>_(* #,##0_);_(* \(#,##0\);_(* "-"??_);_(@_)</c:formatCode>
                <c:ptCount val="3"/>
                <c:pt idx="0">
                  <c:v>30070.555555555555</c:v>
                </c:pt>
                <c:pt idx="1">
                  <c:v>28453.333333333332</c:v>
                </c:pt>
                <c:pt idx="2">
                  <c:v>28453.333333333332</c:v>
                </c:pt>
              </c:numCache>
            </c:numRef>
          </c:val>
          <c:extLst>
            <c:ext xmlns:c16="http://schemas.microsoft.com/office/drawing/2014/chart" uri="{C3380CC4-5D6E-409C-BE32-E72D297353CC}">
              <c16:uniqueId val="{00000001-1EC2-4D4B-B6B9-DDDD45F7046B}"/>
            </c:ext>
          </c:extLst>
        </c:ser>
        <c:dLbls>
          <c:showLegendKey val="0"/>
          <c:showVal val="1"/>
          <c:showCatName val="0"/>
          <c:showSerName val="0"/>
          <c:showPercent val="0"/>
          <c:showBubbleSize val="0"/>
        </c:dLbls>
        <c:gapWidth val="95"/>
        <c:overlap val="100"/>
        <c:axId val="191227008"/>
        <c:axId val="191228544"/>
      </c:barChart>
      <c:catAx>
        <c:axId val="191227008"/>
        <c:scaling>
          <c:orientation val="minMax"/>
        </c:scaling>
        <c:delete val="0"/>
        <c:axPos val="b"/>
        <c:numFmt formatCode="General" sourceLinked="1"/>
        <c:majorTickMark val="none"/>
        <c:minorTickMark val="none"/>
        <c:tickLblPos val="nextTo"/>
        <c:crossAx val="191228544"/>
        <c:crosses val="autoZero"/>
        <c:auto val="1"/>
        <c:lblAlgn val="ctr"/>
        <c:lblOffset val="100"/>
        <c:noMultiLvlLbl val="0"/>
      </c:catAx>
      <c:valAx>
        <c:axId val="191228544"/>
        <c:scaling>
          <c:orientation val="minMax"/>
        </c:scaling>
        <c:delete val="1"/>
        <c:axPos val="l"/>
        <c:numFmt formatCode="_(* #,##0_);_(* \(#,##0\);_(* &quot;-&quot;??_);_(@_)" sourceLinked="1"/>
        <c:majorTickMark val="none"/>
        <c:minorTickMark val="none"/>
        <c:tickLblPos val="nextTo"/>
        <c:crossAx val="191227008"/>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o-RO"/>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strRef>
              <c:f>cheltuieli!$S$14</c:f>
              <c:strCache>
                <c:ptCount val="1"/>
                <c:pt idx="0">
                  <c:v>Buget salarii Lei/an</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cheltuieli!$T$13:$V$13</c:f>
              <c:numCache>
                <c:formatCode>General</c:formatCode>
                <c:ptCount val="3"/>
                <c:pt idx="0">
                  <c:v>2019</c:v>
                </c:pt>
                <c:pt idx="1">
                  <c:v>2020</c:v>
                </c:pt>
                <c:pt idx="2">
                  <c:v>2021</c:v>
                </c:pt>
              </c:numCache>
            </c:numRef>
          </c:cat>
          <c:val>
            <c:numRef>
              <c:f>cheltuieli!$T$14:$V$14</c:f>
              <c:numCache>
                <c:formatCode>_(* #,##0_);_(* \(#,##0\);_(* "-"??_);_(@_)</c:formatCode>
                <c:ptCount val="3"/>
                <c:pt idx="0">
                  <c:v>52500</c:v>
                </c:pt>
                <c:pt idx="1">
                  <c:v>67200</c:v>
                </c:pt>
                <c:pt idx="2">
                  <c:v>72000</c:v>
                </c:pt>
              </c:numCache>
            </c:numRef>
          </c:val>
          <c:extLst>
            <c:ext xmlns:c16="http://schemas.microsoft.com/office/drawing/2014/chart" uri="{C3380CC4-5D6E-409C-BE32-E72D297353CC}">
              <c16:uniqueId val="{00000000-5031-414C-80C7-F50A53F30EE4}"/>
            </c:ext>
          </c:extLst>
        </c:ser>
        <c:dLbls>
          <c:showLegendKey val="0"/>
          <c:showVal val="1"/>
          <c:showCatName val="0"/>
          <c:showSerName val="0"/>
          <c:showPercent val="0"/>
          <c:showBubbleSize val="0"/>
        </c:dLbls>
        <c:gapWidth val="150"/>
        <c:overlap val="-25"/>
        <c:axId val="170227968"/>
        <c:axId val="170235008"/>
      </c:barChart>
      <c:catAx>
        <c:axId val="170227968"/>
        <c:scaling>
          <c:orientation val="minMax"/>
        </c:scaling>
        <c:delete val="0"/>
        <c:axPos val="b"/>
        <c:numFmt formatCode="General" sourceLinked="1"/>
        <c:majorTickMark val="none"/>
        <c:minorTickMark val="none"/>
        <c:tickLblPos val="nextTo"/>
        <c:crossAx val="170235008"/>
        <c:crosses val="autoZero"/>
        <c:auto val="1"/>
        <c:lblAlgn val="ctr"/>
        <c:lblOffset val="100"/>
        <c:noMultiLvlLbl val="0"/>
      </c:catAx>
      <c:valAx>
        <c:axId val="170235008"/>
        <c:scaling>
          <c:orientation val="minMax"/>
        </c:scaling>
        <c:delete val="1"/>
        <c:axPos val="l"/>
        <c:numFmt formatCode="_(* #,##0_);_(* \(#,##0\);_(* &quot;-&quot;??_);_(@_)" sourceLinked="1"/>
        <c:majorTickMark val="out"/>
        <c:minorTickMark val="none"/>
        <c:tickLblPos val="nextTo"/>
        <c:crossAx val="170227968"/>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5</xdr:col>
      <xdr:colOff>1012825</xdr:colOff>
      <xdr:row>7</xdr:row>
      <xdr:rowOff>212725</xdr:rowOff>
    </xdr:from>
    <xdr:to>
      <xdr:col>9</xdr:col>
      <xdr:colOff>1171575</xdr:colOff>
      <xdr:row>18</xdr:row>
      <xdr:rowOff>15875</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581025</xdr:colOff>
      <xdr:row>27</xdr:row>
      <xdr:rowOff>9525</xdr:rowOff>
    </xdr:from>
    <xdr:to>
      <xdr:col>9</xdr:col>
      <xdr:colOff>739775</xdr:colOff>
      <xdr:row>37</xdr:row>
      <xdr:rowOff>47625</xdr:rowOff>
    </xdr:to>
    <xdr:graphicFrame macro="">
      <xdr:nvGraphicFramePr>
        <xdr:cNvPr id="3" name="Chart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258534</xdr:colOff>
      <xdr:row>10</xdr:row>
      <xdr:rowOff>138793</xdr:rowOff>
    </xdr:from>
    <xdr:to>
      <xdr:col>28</xdr:col>
      <xdr:colOff>299356</xdr:colOff>
      <xdr:row>26</xdr:row>
      <xdr:rowOff>72570</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1186656</xdr:colOff>
      <xdr:row>32</xdr:row>
      <xdr:rowOff>13493</xdr:rowOff>
    </xdr:from>
    <xdr:to>
      <xdr:col>13</xdr:col>
      <xdr:colOff>361156</xdr:colOff>
      <xdr:row>47</xdr:row>
      <xdr:rowOff>18256</xdr:rowOff>
    </xdr:to>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416718</xdr:colOff>
      <xdr:row>0</xdr:row>
      <xdr:rowOff>0</xdr:rowOff>
    </xdr:from>
    <xdr:to>
      <xdr:col>26</xdr:col>
      <xdr:colOff>99218</xdr:colOff>
      <xdr:row>10</xdr:row>
      <xdr:rowOff>4762</xdr:rowOff>
    </xdr:to>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31"/>
  <sheetViews>
    <sheetView workbookViewId="0">
      <selection activeCell="D10" sqref="D10"/>
    </sheetView>
  </sheetViews>
  <sheetFormatPr defaultColWidth="34" defaultRowHeight="15" x14ac:dyDescent="0.25"/>
  <cols>
    <col min="1" max="1" width="10.42578125" customWidth="1"/>
    <col min="2" max="2" width="6.140625" customWidth="1"/>
    <col min="3" max="3" width="46.5703125" customWidth="1"/>
    <col min="4" max="4" width="13.85546875" customWidth="1"/>
    <col min="5" max="5" width="15.42578125" customWidth="1"/>
    <col min="6" max="6" width="14" customWidth="1"/>
  </cols>
  <sheetData>
    <row r="2" spans="2:6" ht="16.5" thickBot="1" x14ac:dyDescent="0.3">
      <c r="B2" s="229"/>
      <c r="C2" s="416" t="s">
        <v>221</v>
      </c>
      <c r="D2" s="417"/>
      <c r="E2" s="417"/>
      <c r="F2" s="417"/>
    </row>
    <row r="3" spans="2:6" ht="16.5" thickBot="1" x14ac:dyDescent="0.3">
      <c r="B3" s="228" t="s">
        <v>222</v>
      </c>
      <c r="C3" s="232" t="s">
        <v>256</v>
      </c>
      <c r="D3" s="231" t="s">
        <v>189</v>
      </c>
      <c r="E3" s="231" t="s">
        <v>190</v>
      </c>
      <c r="F3" s="231" t="s">
        <v>191</v>
      </c>
    </row>
    <row r="4" spans="2:6" ht="16.5" thickBot="1" x14ac:dyDescent="0.3">
      <c r="B4" s="231" t="s">
        <v>223</v>
      </c>
      <c r="C4" s="232" t="s">
        <v>224</v>
      </c>
      <c r="D4" s="281">
        <v>200</v>
      </c>
      <c r="E4" s="281">
        <f>D31</f>
        <v>141976</v>
      </c>
      <c r="F4" s="281">
        <f>E31</f>
        <v>170254.66666666669</v>
      </c>
    </row>
    <row r="5" spans="2:6" ht="16.5" thickBot="1" x14ac:dyDescent="0.3">
      <c r="B5" s="263" t="s">
        <v>225</v>
      </c>
      <c r="C5" s="264" t="s">
        <v>226</v>
      </c>
      <c r="D5" s="282">
        <v>553667</v>
      </c>
      <c r="E5" s="282">
        <f t="shared" ref="E5:F5" si="0">SUM(E6:E9)</f>
        <v>420000</v>
      </c>
      <c r="F5" s="282">
        <f t="shared" si="0"/>
        <v>500000</v>
      </c>
    </row>
    <row r="6" spans="2:6" ht="16.5" thickBot="1" x14ac:dyDescent="0.3">
      <c r="B6" s="231">
        <v>1</v>
      </c>
      <c r="C6" s="233" t="s">
        <v>227</v>
      </c>
      <c r="D6" s="281">
        <f>venituri!O10</f>
        <v>380000</v>
      </c>
      <c r="E6" s="281">
        <f>venituri!P10</f>
        <v>420000</v>
      </c>
      <c r="F6" s="281">
        <f>venituri!Q10</f>
        <v>500000</v>
      </c>
    </row>
    <row r="7" spans="2:6" ht="16.5" thickBot="1" x14ac:dyDescent="0.3">
      <c r="B7" s="231">
        <v>2</v>
      </c>
      <c r="C7" s="233" t="s">
        <v>228</v>
      </c>
      <c r="D7" s="281"/>
      <c r="E7" s="281"/>
      <c r="F7" s="281"/>
    </row>
    <row r="8" spans="2:6" ht="16.5" thickBot="1" x14ac:dyDescent="0.3">
      <c r="B8" s="231">
        <v>3</v>
      </c>
      <c r="C8" s="233" t="s">
        <v>229</v>
      </c>
      <c r="D8" s="281"/>
      <c r="E8" s="281"/>
      <c r="F8" s="281"/>
    </row>
    <row r="9" spans="2:6" ht="16.5" thickBot="1" x14ac:dyDescent="0.3">
      <c r="B9" s="231">
        <v>4</v>
      </c>
      <c r="C9" s="232" t="s">
        <v>230</v>
      </c>
      <c r="D9" s="281">
        <v>178340</v>
      </c>
      <c r="E9" s="281"/>
      <c r="F9" s="281"/>
    </row>
    <row r="10" spans="2:6" ht="16.5" thickBot="1" x14ac:dyDescent="0.3">
      <c r="B10" s="263"/>
      <c r="C10" s="264" t="s">
        <v>231</v>
      </c>
      <c r="D10" s="282">
        <f>D4+D5</f>
        <v>553867</v>
      </c>
      <c r="E10" s="282">
        <f t="shared" ref="E10:F10" si="1">E4+E5</f>
        <v>561976</v>
      </c>
      <c r="F10" s="282">
        <f t="shared" si="1"/>
        <v>670254.66666666674</v>
      </c>
    </row>
    <row r="11" spans="2:6" ht="16.5" thickBot="1" x14ac:dyDescent="0.3">
      <c r="B11" s="263" t="s">
        <v>232</v>
      </c>
      <c r="C11" s="264" t="s">
        <v>233</v>
      </c>
      <c r="D11" s="282">
        <v>357530</v>
      </c>
      <c r="E11" s="282">
        <f t="shared" ref="E11:F11" si="2">SUM(E12:E19)</f>
        <v>387521.33333333331</v>
      </c>
      <c r="F11" s="282">
        <f t="shared" si="2"/>
        <v>436321.33333333331</v>
      </c>
    </row>
    <row r="12" spans="2:6" ht="32.25" thickBot="1" x14ac:dyDescent="0.3">
      <c r="B12" s="231">
        <v>1</v>
      </c>
      <c r="C12" s="233" t="s">
        <v>234</v>
      </c>
      <c r="D12" s="281">
        <f>'SCV - diasp'!C8</f>
        <v>231800</v>
      </c>
      <c r="E12" s="281">
        <f>'SCV - diasp'!D8</f>
        <v>256200</v>
      </c>
      <c r="F12" s="281">
        <f>'SCV - diasp'!E8</f>
        <v>305000</v>
      </c>
    </row>
    <row r="13" spans="2:6" ht="16.5" thickBot="1" x14ac:dyDescent="0.3">
      <c r="B13" s="231">
        <v>2</v>
      </c>
      <c r="C13" s="233" t="s">
        <v>195</v>
      </c>
      <c r="D13" s="283">
        <v>81388</v>
      </c>
      <c r="E13" s="283">
        <v>81388</v>
      </c>
      <c r="F13" s="283">
        <v>81388</v>
      </c>
    </row>
    <row r="14" spans="2:6" ht="16.5" thickBot="1" x14ac:dyDescent="0.3">
      <c r="B14" s="231">
        <v>3</v>
      </c>
      <c r="C14" s="233" t="s">
        <v>198</v>
      </c>
      <c r="D14" s="283">
        <v>27600</v>
      </c>
      <c r="E14" s="283">
        <v>27600</v>
      </c>
      <c r="F14" s="283">
        <v>27600</v>
      </c>
    </row>
    <row r="15" spans="2:6" ht="16.5" thickBot="1" x14ac:dyDescent="0.3">
      <c r="B15" s="231">
        <v>4</v>
      </c>
      <c r="C15" s="233" t="s">
        <v>199</v>
      </c>
      <c r="D15" s="284">
        <f>'SCV - diasp'!C13</f>
        <v>8100</v>
      </c>
      <c r="E15" s="284">
        <f>'SCV - diasp'!D13</f>
        <v>10800</v>
      </c>
      <c r="F15" s="284">
        <f>'SCV - diasp'!E13</f>
        <v>10800</v>
      </c>
    </row>
    <row r="16" spans="2:6" ht="32.25" thickBot="1" x14ac:dyDescent="0.3">
      <c r="B16" s="231">
        <v>5</v>
      </c>
      <c r="C16" s="233" t="s">
        <v>235</v>
      </c>
      <c r="D16" s="283">
        <f>'SCV - diasp'!C14</f>
        <v>11081</v>
      </c>
      <c r="E16" s="283">
        <f>'SCV - diasp'!D14</f>
        <v>6800</v>
      </c>
      <c r="F16" s="283">
        <f>'SCV - diasp'!E14</f>
        <v>6800</v>
      </c>
    </row>
    <row r="17" spans="2:10" ht="16.5" thickBot="1" x14ac:dyDescent="0.3">
      <c r="B17" s="231">
        <v>6</v>
      </c>
      <c r="C17" s="233" t="s">
        <v>201</v>
      </c>
      <c r="D17" s="283">
        <f>'SCV - diasp'!C15</f>
        <v>1500</v>
      </c>
      <c r="E17" s="283">
        <f>'SCV - diasp'!D15</f>
        <v>1500</v>
      </c>
      <c r="F17" s="283">
        <f>'SCV - diasp'!E15</f>
        <v>1500</v>
      </c>
    </row>
    <row r="18" spans="2:10" ht="16.5" thickBot="1" x14ac:dyDescent="0.3">
      <c r="B18" s="231">
        <v>7</v>
      </c>
      <c r="C18" s="233" t="s">
        <v>236</v>
      </c>
      <c r="D18" s="283">
        <v>0</v>
      </c>
      <c r="E18" s="283">
        <v>0</v>
      </c>
      <c r="F18" s="283">
        <v>0</v>
      </c>
    </row>
    <row r="19" spans="2:10" ht="16.5" thickBot="1" x14ac:dyDescent="0.3">
      <c r="B19" s="231">
        <v>8</v>
      </c>
      <c r="C19" s="233" t="s">
        <v>203</v>
      </c>
      <c r="D19" s="283">
        <v>3300</v>
      </c>
      <c r="E19" s="283">
        <f>'SCV - diasp'!D17</f>
        <v>3233.3333333333335</v>
      </c>
      <c r="F19" s="283">
        <f>'SCV - diasp'!E17</f>
        <v>3233.3333333333335</v>
      </c>
    </row>
    <row r="20" spans="2:10" ht="32.25" thickBot="1" x14ac:dyDescent="0.3">
      <c r="B20" s="231" t="s">
        <v>237</v>
      </c>
      <c r="C20" s="232" t="s">
        <v>238</v>
      </c>
      <c r="D20" s="281">
        <v>50561</v>
      </c>
      <c r="E20" s="281">
        <v>0</v>
      </c>
      <c r="F20" s="281">
        <v>0</v>
      </c>
      <c r="I20" s="230"/>
      <c r="J20" s="234"/>
    </row>
    <row r="21" spans="2:10" ht="16.5" thickBot="1" x14ac:dyDescent="0.3">
      <c r="B21" s="231" t="s">
        <v>239</v>
      </c>
      <c r="C21" s="232" t="s">
        <v>240</v>
      </c>
      <c r="D21" s="281"/>
      <c r="E21" s="281"/>
      <c r="F21" s="281"/>
    </row>
    <row r="22" spans="2:10" ht="16.5" thickBot="1" x14ac:dyDescent="0.3">
      <c r="B22" s="231"/>
      <c r="C22" s="233" t="s">
        <v>241</v>
      </c>
      <c r="D22" s="281"/>
      <c r="E22" s="281"/>
      <c r="F22" s="281"/>
    </row>
    <row r="23" spans="2:10" ht="16.5" thickBot="1" x14ac:dyDescent="0.3">
      <c r="B23" s="231"/>
      <c r="C23" s="233" t="s">
        <v>242</v>
      </c>
      <c r="D23" s="281"/>
      <c r="E23" s="281"/>
      <c r="F23" s="281"/>
    </row>
    <row r="24" spans="2:10" ht="16.5" thickBot="1" x14ac:dyDescent="0.3">
      <c r="B24" s="231" t="s">
        <v>243</v>
      </c>
      <c r="C24" s="232" t="s">
        <v>244</v>
      </c>
      <c r="D24" s="281">
        <v>3800</v>
      </c>
      <c r="E24" s="281">
        <v>4200</v>
      </c>
      <c r="F24" s="281">
        <v>5000</v>
      </c>
    </row>
    <row r="25" spans="2:10" ht="16.5" thickBot="1" x14ac:dyDescent="0.3">
      <c r="B25" s="231">
        <v>1</v>
      </c>
      <c r="C25" s="233" t="s">
        <v>245</v>
      </c>
      <c r="D25" s="281"/>
      <c r="E25" s="281"/>
      <c r="F25" s="281"/>
    </row>
    <row r="26" spans="2:10" ht="16.5" thickBot="1" x14ac:dyDescent="0.3">
      <c r="B26" s="231">
        <v>2</v>
      </c>
      <c r="C26" s="233" t="s">
        <v>246</v>
      </c>
      <c r="D26" s="281"/>
      <c r="E26" s="281"/>
      <c r="F26" s="281"/>
    </row>
    <row r="27" spans="2:10" ht="16.5" thickBot="1" x14ac:dyDescent="0.3">
      <c r="B27" s="231">
        <v>3</v>
      </c>
      <c r="C27" s="233" t="s">
        <v>247</v>
      </c>
      <c r="D27" s="281">
        <v>3800</v>
      </c>
      <c r="E27" s="281">
        <v>4200</v>
      </c>
      <c r="F27" s="281">
        <v>5000</v>
      </c>
    </row>
    <row r="28" spans="2:10" ht="16.5" thickBot="1" x14ac:dyDescent="0.3">
      <c r="B28" s="231" t="s">
        <v>248</v>
      </c>
      <c r="C28" s="232" t="s">
        <v>249</v>
      </c>
      <c r="D28" s="281"/>
      <c r="E28" s="281"/>
      <c r="F28" s="281"/>
    </row>
    <row r="29" spans="2:10" ht="16.5" thickBot="1" x14ac:dyDescent="0.3">
      <c r="B29" s="231" t="s">
        <v>250</v>
      </c>
      <c r="C29" s="232" t="s">
        <v>251</v>
      </c>
      <c r="D29" s="285">
        <f>D11+D20+D21+D24+D28</f>
        <v>411891</v>
      </c>
      <c r="E29" s="285">
        <f t="shared" ref="E29:F29" si="3">E11+E20+E21+E24+E28</f>
        <v>391721.33333333331</v>
      </c>
      <c r="F29" s="285">
        <f t="shared" si="3"/>
        <v>441321.33333333331</v>
      </c>
    </row>
    <row r="30" spans="2:10" ht="16.5" thickBot="1" x14ac:dyDescent="0.3">
      <c r="B30" s="231" t="s">
        <v>252</v>
      </c>
      <c r="C30" s="232" t="s">
        <v>253</v>
      </c>
      <c r="D30" s="285">
        <f>D5-D29</f>
        <v>141776</v>
      </c>
      <c r="E30" s="285">
        <f t="shared" ref="E30:F30" si="4">E5-E29</f>
        <v>28278.666666666686</v>
      </c>
      <c r="F30" s="285">
        <f t="shared" si="4"/>
        <v>58678.666666666686</v>
      </c>
    </row>
    <row r="31" spans="2:10" ht="16.5" thickBot="1" x14ac:dyDescent="0.3">
      <c r="B31" s="231" t="s">
        <v>254</v>
      </c>
      <c r="C31" s="232" t="s">
        <v>255</v>
      </c>
      <c r="D31" s="285">
        <f>D30+D4</f>
        <v>141976</v>
      </c>
      <c r="E31" s="285">
        <f t="shared" ref="E31:F31" si="5">E30+E4</f>
        <v>170254.66666666669</v>
      </c>
      <c r="F31" s="285">
        <f t="shared" si="5"/>
        <v>228933.33333333337</v>
      </c>
    </row>
  </sheetData>
  <mergeCells count="1">
    <mergeCell ref="C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4"/>
  <sheetViews>
    <sheetView tabSelected="1" zoomScaleNormal="100" workbookViewId="0">
      <selection activeCell="C16" sqref="C16"/>
    </sheetView>
  </sheetViews>
  <sheetFormatPr defaultColWidth="35.140625" defaultRowHeight="15" x14ac:dyDescent="0.25"/>
  <cols>
    <col min="1" max="1" width="8.5703125" customWidth="1"/>
    <col min="2" max="2" width="42.5703125" customWidth="1"/>
    <col min="3" max="3" width="13.140625" customWidth="1"/>
    <col min="4" max="4" width="11.7109375" customWidth="1"/>
    <col min="5" max="5" width="13.140625" customWidth="1"/>
    <col min="6" max="6" width="22.140625" customWidth="1"/>
    <col min="7" max="7" width="14.42578125" customWidth="1"/>
    <col min="8" max="8" width="11.85546875" customWidth="1"/>
    <col min="9" max="9" width="14.85546875" customWidth="1"/>
    <col min="10" max="10" width="18.42578125" customWidth="1"/>
  </cols>
  <sheetData>
    <row r="1" spans="1:5" x14ac:dyDescent="0.25">
      <c r="A1" s="235"/>
      <c r="B1" s="236"/>
      <c r="C1" s="235"/>
      <c r="D1" s="235"/>
      <c r="E1" s="235"/>
    </row>
    <row r="2" spans="1:5" ht="15.75" thickBot="1" x14ac:dyDescent="0.3">
      <c r="A2" s="418" t="s">
        <v>188</v>
      </c>
      <c r="B2" s="419"/>
      <c r="C2" s="419"/>
      <c r="D2" s="419"/>
      <c r="E2" s="420"/>
    </row>
    <row r="3" spans="1:5" x14ac:dyDescent="0.25">
      <c r="A3" s="237"/>
      <c r="B3" s="238"/>
      <c r="C3" s="239" t="s">
        <v>190</v>
      </c>
      <c r="D3" s="239" t="s">
        <v>191</v>
      </c>
      <c r="E3" s="239" t="s">
        <v>286</v>
      </c>
    </row>
    <row r="4" spans="1:5" x14ac:dyDescent="0.25">
      <c r="A4" s="240">
        <v>1</v>
      </c>
      <c r="B4" s="241" t="s">
        <v>192</v>
      </c>
      <c r="C4" s="279"/>
      <c r="D4" s="279"/>
      <c r="E4" s="279"/>
    </row>
    <row r="5" spans="1:5" x14ac:dyDescent="0.25">
      <c r="A5" s="240">
        <v>2</v>
      </c>
      <c r="B5" s="242" t="s">
        <v>219</v>
      </c>
      <c r="C5" s="259">
        <f>venituri!O10</f>
        <v>380000</v>
      </c>
      <c r="D5" s="259">
        <f>venituri!P10</f>
        <v>420000</v>
      </c>
      <c r="E5" s="259">
        <f>venituri!Q10</f>
        <v>500000</v>
      </c>
    </row>
    <row r="6" spans="1:5" x14ac:dyDescent="0.25">
      <c r="A6" s="240">
        <v>3</v>
      </c>
      <c r="B6" s="241" t="s">
        <v>220</v>
      </c>
      <c r="C6" s="279">
        <v>0</v>
      </c>
      <c r="D6" s="279">
        <v>0</v>
      </c>
      <c r="E6" s="279">
        <v>0</v>
      </c>
    </row>
    <row r="7" spans="1:5" ht="29.25" x14ac:dyDescent="0.25">
      <c r="A7" s="240">
        <v>4</v>
      </c>
      <c r="B7" s="243" t="s">
        <v>193</v>
      </c>
      <c r="C7" s="259">
        <f>SUM(C5:C6)</f>
        <v>380000</v>
      </c>
      <c r="D7" s="259">
        <f t="shared" ref="D7:E7" si="0">SUM(D5:D6)</f>
        <v>420000</v>
      </c>
      <c r="E7" s="259">
        <f t="shared" si="0"/>
        <v>500000</v>
      </c>
    </row>
    <row r="8" spans="1:5" ht="30" x14ac:dyDescent="0.25">
      <c r="A8" s="240">
        <v>5</v>
      </c>
      <c r="B8" s="241" t="s">
        <v>194</v>
      </c>
      <c r="C8" s="279">
        <f>cheltuieli!N5+cheltuieli!N6</f>
        <v>231800</v>
      </c>
      <c r="D8" s="279">
        <f>cheltuieli!O5+cheltuieli!O6</f>
        <v>256200</v>
      </c>
      <c r="E8" s="279">
        <f>cheltuieli!P5+cheltuieli!P6</f>
        <v>305000</v>
      </c>
    </row>
    <row r="9" spans="1:5" x14ac:dyDescent="0.25">
      <c r="A9" s="240">
        <v>6</v>
      </c>
      <c r="B9" s="241" t="s">
        <v>195</v>
      </c>
      <c r="C9" s="279">
        <v>81388</v>
      </c>
      <c r="D9" s="279">
        <v>81388</v>
      </c>
      <c r="E9" s="279">
        <v>81388</v>
      </c>
    </row>
    <row r="10" spans="1:5" x14ac:dyDescent="0.25">
      <c r="A10" s="240"/>
      <c r="B10" s="241" t="s">
        <v>196</v>
      </c>
      <c r="C10" s="279">
        <f>C9*57.2%</f>
        <v>46553.936000000009</v>
      </c>
      <c r="D10" s="279">
        <f t="shared" ref="D10:E10" si="1">D9*57.2%</f>
        <v>46553.936000000009</v>
      </c>
      <c r="E10" s="279">
        <f t="shared" si="1"/>
        <v>46553.936000000009</v>
      </c>
    </row>
    <row r="11" spans="1:5" x14ac:dyDescent="0.25">
      <c r="A11" s="240"/>
      <c r="B11" s="241" t="s">
        <v>197</v>
      </c>
      <c r="C11" s="279">
        <f>C9*42.8%</f>
        <v>34834.063999999998</v>
      </c>
      <c r="D11" s="279">
        <f t="shared" ref="D11:E11" si="2">D9*42.8%</f>
        <v>34834.063999999998</v>
      </c>
      <c r="E11" s="279">
        <f t="shared" si="2"/>
        <v>34834.063999999998</v>
      </c>
    </row>
    <row r="12" spans="1:5" ht="15.75" x14ac:dyDescent="0.25">
      <c r="A12" s="240">
        <v>7</v>
      </c>
      <c r="B12" s="244" t="s">
        <v>198</v>
      </c>
      <c r="C12" s="279">
        <v>27600</v>
      </c>
      <c r="D12" s="279">
        <v>27600</v>
      </c>
      <c r="E12" s="279">
        <v>27600</v>
      </c>
    </row>
    <row r="13" spans="1:5" ht="15.75" x14ac:dyDescent="0.25">
      <c r="A13" s="240">
        <v>8</v>
      </c>
      <c r="B13" s="244" t="s">
        <v>267</v>
      </c>
      <c r="C13" s="279">
        <f>cheltuieli!N8+cheltuieli!N10</f>
        <v>8100</v>
      </c>
      <c r="D13" s="279">
        <f>cheltuieli!O8+cheltuieli!O10</f>
        <v>10800</v>
      </c>
      <c r="E13" s="279">
        <f>cheltuieli!P8+cheltuieli!P10</f>
        <v>10800</v>
      </c>
    </row>
    <row r="14" spans="1:5" ht="30" x14ac:dyDescent="0.25">
      <c r="A14" s="240">
        <v>9</v>
      </c>
      <c r="B14" s="245" t="s">
        <v>200</v>
      </c>
      <c r="C14" s="279">
        <v>11081</v>
      </c>
      <c r="D14" s="279">
        <f>cheltuieli!O14+cheltuieli!O17</f>
        <v>6800</v>
      </c>
      <c r="E14" s="279">
        <f>cheltuieli!P14+cheltuieli!P17</f>
        <v>6800</v>
      </c>
    </row>
    <row r="15" spans="1:5" x14ac:dyDescent="0.25">
      <c r="A15" s="240">
        <v>10</v>
      </c>
      <c r="B15" s="241" t="s">
        <v>201</v>
      </c>
      <c r="C15" s="279">
        <f>cheltuieli!N19</f>
        <v>1500</v>
      </c>
      <c r="D15" s="279">
        <f>cheltuieli!O19</f>
        <v>1500</v>
      </c>
      <c r="E15" s="279">
        <f>cheltuieli!P19</f>
        <v>1500</v>
      </c>
    </row>
    <row r="16" spans="1:5" ht="30" x14ac:dyDescent="0.25">
      <c r="A16" s="240">
        <v>11</v>
      </c>
      <c r="B16" s="241" t="s">
        <v>202</v>
      </c>
      <c r="C16" s="279">
        <f>1%*C7</f>
        <v>3800</v>
      </c>
      <c r="D16" s="279">
        <f t="shared" ref="D16:E16" si="3">1%*D7</f>
        <v>4200</v>
      </c>
      <c r="E16" s="279">
        <f t="shared" si="3"/>
        <v>5000</v>
      </c>
    </row>
    <row r="17" spans="1:10" ht="30" x14ac:dyDescent="0.25">
      <c r="A17" s="240">
        <v>12</v>
      </c>
      <c r="B17" s="241" t="s">
        <v>218</v>
      </c>
      <c r="C17" s="279">
        <v>40000</v>
      </c>
      <c r="D17" s="279">
        <f>cheltuieli!K19+cheltuieli!K23+cheltuieli!O22</f>
        <v>3233.3333333333335</v>
      </c>
      <c r="E17" s="279">
        <f>cheltuieli!L19+cheltuieli!L23+cheltuieli!P22</f>
        <v>3233.3333333333335</v>
      </c>
      <c r="F17" s="234"/>
    </row>
    <row r="18" spans="1:10" x14ac:dyDescent="0.25">
      <c r="A18" s="240">
        <v>13</v>
      </c>
      <c r="B18" s="243" t="s">
        <v>204</v>
      </c>
      <c r="C18" s="259">
        <f>C8+C9+C12+C13+C14+C15+C16+C17</f>
        <v>405269</v>
      </c>
      <c r="D18" s="259">
        <f t="shared" ref="D18:E18" si="4">D8+D9+D12+D13+D14+D15+D16+D17</f>
        <v>391721.33333333331</v>
      </c>
      <c r="E18" s="259">
        <f t="shared" si="4"/>
        <v>441321.33333333331</v>
      </c>
    </row>
    <row r="19" spans="1:10" ht="29.25" x14ac:dyDescent="0.25">
      <c r="A19" s="240">
        <v>14</v>
      </c>
      <c r="B19" s="243" t="s">
        <v>205</v>
      </c>
      <c r="C19" s="279"/>
      <c r="D19" s="279"/>
      <c r="E19" s="279"/>
    </row>
    <row r="20" spans="1:10" x14ac:dyDescent="0.25">
      <c r="A20" s="240">
        <v>15</v>
      </c>
      <c r="B20" s="241" t="s">
        <v>206</v>
      </c>
      <c r="C20" s="259">
        <f>C7-C18</f>
        <v>-25269</v>
      </c>
      <c r="D20" s="259">
        <f t="shared" ref="D20:E20" si="5">D7-D18</f>
        <v>28278.666666666686</v>
      </c>
      <c r="E20" s="259">
        <f t="shared" si="5"/>
        <v>58678.666666666686</v>
      </c>
      <c r="H20" t="s">
        <v>272</v>
      </c>
      <c r="I20" t="s">
        <v>273</v>
      </c>
      <c r="J20" t="s">
        <v>287</v>
      </c>
    </row>
    <row r="21" spans="1:10" x14ac:dyDescent="0.25">
      <c r="A21" s="240">
        <v>16</v>
      </c>
      <c r="B21" s="246" t="s">
        <v>207</v>
      </c>
      <c r="C21" s="259"/>
      <c r="D21" s="259"/>
      <c r="E21" s="259"/>
      <c r="G21" t="s">
        <v>268</v>
      </c>
      <c r="H21" s="261">
        <f>C7</f>
        <v>380000</v>
      </c>
      <c r="I21" s="261">
        <f t="shared" ref="I21:J21" si="6">D7</f>
        <v>420000</v>
      </c>
      <c r="J21" s="261">
        <f t="shared" si="6"/>
        <v>500000</v>
      </c>
    </row>
    <row r="22" spans="1:10" x14ac:dyDescent="0.25">
      <c r="A22" s="240">
        <v>17</v>
      </c>
      <c r="B22" s="247" t="s">
        <v>208</v>
      </c>
      <c r="C22" s="279">
        <v>0</v>
      </c>
      <c r="D22" s="279"/>
      <c r="E22" s="279"/>
      <c r="G22" t="s">
        <v>269</v>
      </c>
      <c r="H22" s="261">
        <f>C18</f>
        <v>405269</v>
      </c>
      <c r="I22" s="261">
        <f t="shared" ref="I22:J22" si="7">D18</f>
        <v>391721.33333333331</v>
      </c>
      <c r="J22" s="261">
        <f t="shared" si="7"/>
        <v>441321.33333333331</v>
      </c>
    </row>
    <row r="23" spans="1:10" x14ac:dyDescent="0.25">
      <c r="A23" s="240">
        <v>18</v>
      </c>
      <c r="B23" s="246" t="s">
        <v>209</v>
      </c>
      <c r="C23" s="279">
        <v>0</v>
      </c>
      <c r="D23" s="279"/>
      <c r="E23" s="279"/>
      <c r="G23" t="s">
        <v>270</v>
      </c>
      <c r="H23" s="261">
        <f>H21-H22</f>
        <v>-25269</v>
      </c>
      <c r="I23" s="261">
        <f t="shared" ref="I23:J23" si="8">I21-I22</f>
        <v>28278.666666666686</v>
      </c>
      <c r="J23" s="261">
        <f t="shared" si="8"/>
        <v>58678.666666666686</v>
      </c>
    </row>
    <row r="24" spans="1:10" ht="29.25" x14ac:dyDescent="0.25">
      <c r="A24" s="240">
        <v>19</v>
      </c>
      <c r="B24" s="243" t="s">
        <v>210</v>
      </c>
      <c r="C24" s="279">
        <f>C22-C23</f>
        <v>0</v>
      </c>
      <c r="D24" s="279">
        <f t="shared" ref="D24:E24" si="9">D22-D23</f>
        <v>0</v>
      </c>
      <c r="E24" s="279">
        <f t="shared" si="9"/>
        <v>0</v>
      </c>
    </row>
    <row r="25" spans="1:10" x14ac:dyDescent="0.25">
      <c r="A25" s="240">
        <v>20</v>
      </c>
      <c r="B25" s="247" t="s">
        <v>211</v>
      </c>
      <c r="C25" s="259">
        <f>C22+C7</f>
        <v>380000</v>
      </c>
      <c r="D25" s="259">
        <f t="shared" ref="D25:E25" si="10">D22+D7</f>
        <v>420000</v>
      </c>
      <c r="E25" s="259">
        <f t="shared" si="10"/>
        <v>500000</v>
      </c>
      <c r="H25" t="s">
        <v>271</v>
      </c>
      <c r="I25" t="s">
        <v>272</v>
      </c>
      <c r="J25" t="s">
        <v>273</v>
      </c>
    </row>
    <row r="26" spans="1:10" x14ac:dyDescent="0.25">
      <c r="A26" s="240">
        <v>21</v>
      </c>
      <c r="B26" s="247" t="s">
        <v>212</v>
      </c>
      <c r="C26" s="259">
        <f>C18+C23</f>
        <v>405269</v>
      </c>
      <c r="D26" s="259">
        <f t="shared" ref="D26:E26" si="11">D18+D23</f>
        <v>391721.33333333331</v>
      </c>
      <c r="E26" s="259">
        <f t="shared" si="11"/>
        <v>441321.33333333331</v>
      </c>
      <c r="G26" t="s">
        <v>274</v>
      </c>
      <c r="H26" s="262">
        <f>H23/H21</f>
        <v>-6.6497368421052638E-2</v>
      </c>
      <c r="I26" s="262">
        <f t="shared" ref="I26:J26" si="12">I23/I21</f>
        <v>6.7330158730158782E-2</v>
      </c>
      <c r="J26" s="262">
        <f t="shared" si="12"/>
        <v>0.11735733333333337</v>
      </c>
    </row>
    <row r="27" spans="1:10" x14ac:dyDescent="0.25">
      <c r="A27" s="240">
        <v>22</v>
      </c>
      <c r="B27" s="247" t="s">
        <v>213</v>
      </c>
      <c r="C27" s="279"/>
      <c r="D27" s="279"/>
      <c r="E27" s="279"/>
    </row>
    <row r="28" spans="1:10" x14ac:dyDescent="0.25">
      <c r="A28" s="240">
        <v>23</v>
      </c>
      <c r="B28" s="248" t="s">
        <v>214</v>
      </c>
      <c r="C28" s="280">
        <f>C25-C26</f>
        <v>-25269</v>
      </c>
      <c r="D28" s="280">
        <f t="shared" ref="D28:E28" si="13">D25-D26</f>
        <v>28278.666666666686</v>
      </c>
      <c r="E28" s="280">
        <f t="shared" si="13"/>
        <v>58678.666666666686</v>
      </c>
    </row>
    <row r="29" spans="1:10" ht="15.75" thickBot="1" x14ac:dyDescent="0.3">
      <c r="A29" s="249">
        <v>24</v>
      </c>
      <c r="B29" s="250" t="s">
        <v>215</v>
      </c>
      <c r="C29" s="251"/>
      <c r="D29" s="251"/>
      <c r="E29" s="251"/>
    </row>
    <row r="32" spans="1:10" ht="37.5" x14ac:dyDescent="0.3">
      <c r="B32" s="252" t="s">
        <v>70</v>
      </c>
      <c r="C32" s="253"/>
    </row>
    <row r="33" spans="2:3" ht="37.5" x14ac:dyDescent="0.3">
      <c r="B33" s="254" t="s">
        <v>216</v>
      </c>
      <c r="C33" s="255"/>
    </row>
    <row r="34" spans="2:3" ht="37.5" x14ac:dyDescent="0.3">
      <c r="B34" s="254" t="s">
        <v>217</v>
      </c>
      <c r="C34" s="255"/>
    </row>
  </sheetData>
  <mergeCells count="1">
    <mergeCell ref="A2:E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I76"/>
  <sheetViews>
    <sheetView topLeftCell="B25" workbookViewId="0">
      <selection activeCell="G28" sqref="G28"/>
    </sheetView>
  </sheetViews>
  <sheetFormatPr defaultColWidth="8.7109375" defaultRowHeight="12.75" x14ac:dyDescent="0.2"/>
  <cols>
    <col min="1" max="1" width="8.7109375" style="358"/>
    <col min="2" max="2" width="8.7109375" style="403"/>
    <col min="3" max="3" width="41.140625" style="358" customWidth="1"/>
    <col min="4" max="4" width="13.42578125" style="358" customWidth="1"/>
    <col min="5" max="5" width="18.7109375" style="358" customWidth="1"/>
    <col min="6" max="6" width="20.42578125" style="358" customWidth="1"/>
    <col min="7" max="7" width="50.28515625" style="358" customWidth="1"/>
    <col min="8" max="16384" width="8.7109375" style="358"/>
  </cols>
  <sheetData>
    <row r="1" spans="2:7" ht="13.5" thickBot="1" x14ac:dyDescent="0.25"/>
    <row r="2" spans="2:7" s="399" customFormat="1" ht="50.25" thickBot="1" x14ac:dyDescent="0.25">
      <c r="B2" s="411" t="s">
        <v>310</v>
      </c>
      <c r="C2" s="290" t="s">
        <v>311</v>
      </c>
      <c r="D2" s="412" t="s">
        <v>312</v>
      </c>
      <c r="E2" s="413" t="s">
        <v>313</v>
      </c>
      <c r="F2" s="413" t="s">
        <v>314</v>
      </c>
      <c r="G2" s="398" t="s">
        <v>315</v>
      </c>
    </row>
    <row r="3" spans="2:7" ht="13.5" thickBot="1" x14ac:dyDescent="0.25">
      <c r="B3" s="423" t="s">
        <v>316</v>
      </c>
      <c r="C3" s="424"/>
      <c r="D3" s="425"/>
      <c r="E3" s="359"/>
      <c r="F3" s="359"/>
      <c r="G3" s="360"/>
    </row>
    <row r="4" spans="2:7" ht="13.5" thickBot="1" x14ac:dyDescent="0.25">
      <c r="B4" s="404">
        <v>1.1000000000000001</v>
      </c>
      <c r="C4" s="361" t="s">
        <v>317</v>
      </c>
      <c r="D4" s="362">
        <f>'an 1'!P6</f>
        <v>46565</v>
      </c>
      <c r="E4" s="363">
        <f>D4/3*2</f>
        <v>31043.333333333332</v>
      </c>
      <c r="F4" s="363">
        <f>D4-E4</f>
        <v>15521.666666666668</v>
      </c>
      <c r="G4" s="364" t="s">
        <v>318</v>
      </c>
    </row>
    <row r="5" spans="2:7" ht="26.25" thickBot="1" x14ac:dyDescent="0.25">
      <c r="B5" s="404">
        <v>1.2</v>
      </c>
      <c r="C5" s="361" t="s">
        <v>319</v>
      </c>
      <c r="D5" s="362">
        <v>0</v>
      </c>
      <c r="E5" s="361"/>
      <c r="F5" s="363"/>
      <c r="G5" s="360"/>
    </row>
    <row r="6" spans="2:7" ht="39" thickBot="1" x14ac:dyDescent="0.25">
      <c r="B6" s="404">
        <v>1.3</v>
      </c>
      <c r="C6" s="361" t="s">
        <v>320</v>
      </c>
      <c r="D6" s="362">
        <f>'an 1'!P15</f>
        <v>34823</v>
      </c>
      <c r="E6" s="363">
        <f>D6/3*2</f>
        <v>23215.333333333332</v>
      </c>
      <c r="F6" s="363">
        <f>D6-E6</f>
        <v>11607.666666666668</v>
      </c>
      <c r="G6" s="364" t="s">
        <v>321</v>
      </c>
    </row>
    <row r="7" spans="2:7" ht="26.25" thickBot="1" x14ac:dyDescent="0.25">
      <c r="B7" s="405">
        <v>1</v>
      </c>
      <c r="C7" s="365" t="s">
        <v>322</v>
      </c>
      <c r="D7" s="366">
        <f>D4+D5+D6</f>
        <v>81388</v>
      </c>
      <c r="E7" s="367">
        <f t="shared" ref="E7:F7" si="0">E4+E5+E6</f>
        <v>54258.666666666664</v>
      </c>
      <c r="F7" s="367">
        <f t="shared" si="0"/>
        <v>27129.333333333336</v>
      </c>
      <c r="G7" s="364"/>
    </row>
    <row r="8" spans="2:7" ht="13.5" thickBot="1" x14ac:dyDescent="0.25">
      <c r="B8" s="423" t="s">
        <v>323</v>
      </c>
      <c r="C8" s="424"/>
      <c r="D8" s="425"/>
      <c r="E8" s="368"/>
      <c r="F8" s="368"/>
      <c r="G8" s="360"/>
    </row>
    <row r="9" spans="2:7" ht="60" customHeight="1" thickBot="1" x14ac:dyDescent="0.25">
      <c r="B9" s="404">
        <v>2.1</v>
      </c>
      <c r="C9" s="361" t="s">
        <v>438</v>
      </c>
      <c r="D9" s="369"/>
      <c r="E9" s="361"/>
      <c r="F9" s="361"/>
      <c r="G9" s="360"/>
    </row>
    <row r="10" spans="2:7" ht="13.5" thickBot="1" x14ac:dyDescent="0.25">
      <c r="B10" s="404">
        <v>2.2000000000000002</v>
      </c>
      <c r="C10" s="361" t="s">
        <v>324</v>
      </c>
      <c r="D10" s="369"/>
      <c r="E10" s="361"/>
      <c r="F10" s="361"/>
      <c r="G10" s="360"/>
    </row>
    <row r="11" spans="2:7" ht="64.5" thickBot="1" x14ac:dyDescent="0.25">
      <c r="B11" s="404">
        <v>2.2999999999999998</v>
      </c>
      <c r="C11" s="361" t="s">
        <v>325</v>
      </c>
      <c r="D11" s="362"/>
      <c r="E11" s="361"/>
      <c r="F11" s="361">
        <v>0</v>
      </c>
      <c r="G11" s="360"/>
    </row>
    <row r="12" spans="2:7" ht="26.25" thickBot="1" x14ac:dyDescent="0.25">
      <c r="B12" s="404">
        <v>2.4</v>
      </c>
      <c r="C12" s="361" t="s">
        <v>326</v>
      </c>
      <c r="D12" s="362"/>
      <c r="E12" s="361"/>
      <c r="F12" s="361"/>
      <c r="G12" s="360"/>
    </row>
    <row r="13" spans="2:7" ht="26.25" thickBot="1" x14ac:dyDescent="0.25">
      <c r="B13" s="405">
        <v>2</v>
      </c>
      <c r="C13" s="365" t="s">
        <v>327</v>
      </c>
      <c r="D13" s="366"/>
      <c r="E13" s="366">
        <f t="shared" ref="E13:F13" si="1">E11+E12</f>
        <v>0</v>
      </c>
      <c r="F13" s="366">
        <f t="shared" si="1"/>
        <v>0</v>
      </c>
      <c r="G13" s="364" t="s">
        <v>328</v>
      </c>
    </row>
    <row r="14" spans="2:7" ht="24" customHeight="1" thickBot="1" x14ac:dyDescent="0.25">
      <c r="B14" s="426" t="s">
        <v>329</v>
      </c>
      <c r="C14" s="427"/>
      <c r="D14" s="427"/>
      <c r="E14" s="427"/>
      <c r="F14" s="428"/>
      <c r="G14" s="360"/>
    </row>
    <row r="15" spans="2:7" ht="26.25" thickBot="1" x14ac:dyDescent="0.25">
      <c r="B15" s="404" t="s">
        <v>330</v>
      </c>
      <c r="C15" s="361" t="s">
        <v>331</v>
      </c>
      <c r="D15" s="362">
        <f>'an 1'!P36</f>
        <v>0</v>
      </c>
      <c r="E15" s="361"/>
      <c r="F15" s="361"/>
      <c r="G15" s="360" t="s">
        <v>332</v>
      </c>
    </row>
    <row r="16" spans="2:7" ht="26.25" thickBot="1" x14ac:dyDescent="0.25">
      <c r="B16" s="404" t="s">
        <v>333</v>
      </c>
      <c r="C16" s="361" t="s">
        <v>334</v>
      </c>
      <c r="D16" s="362">
        <f>'an 1'!P37</f>
        <v>0</v>
      </c>
      <c r="E16" s="370">
        <f>D16</f>
        <v>0</v>
      </c>
      <c r="F16" s="361"/>
      <c r="G16" s="360"/>
    </row>
    <row r="17" spans="2:8" ht="13.5" thickBot="1" x14ac:dyDescent="0.25">
      <c r="B17" s="404" t="s">
        <v>335</v>
      </c>
      <c r="C17" s="361" t="s">
        <v>336</v>
      </c>
      <c r="D17" s="362"/>
      <c r="E17" s="370"/>
      <c r="F17" s="361"/>
      <c r="G17" s="360"/>
    </row>
    <row r="18" spans="2:8" ht="13.5" thickBot="1" x14ac:dyDescent="0.25">
      <c r="B18" s="404" t="s">
        <v>337</v>
      </c>
      <c r="C18" s="361" t="s">
        <v>338</v>
      </c>
      <c r="D18" s="362">
        <f>'an 1'!P34</f>
        <v>4400</v>
      </c>
      <c r="E18" s="370">
        <f>D18/2</f>
        <v>2200</v>
      </c>
      <c r="F18" s="370">
        <f>E18</f>
        <v>2200</v>
      </c>
      <c r="G18" s="360"/>
    </row>
    <row r="19" spans="2:8" ht="39" thickBot="1" x14ac:dyDescent="0.25">
      <c r="B19" s="375">
        <v>3</v>
      </c>
      <c r="C19" s="365" t="s">
        <v>339</v>
      </c>
      <c r="D19" s="371">
        <f>SUM(D15:D18)</f>
        <v>4400</v>
      </c>
      <c r="E19" s="371">
        <f t="shared" ref="E19:F19" si="2">SUM(E15:E18)</f>
        <v>2200</v>
      </c>
      <c r="F19" s="371">
        <f t="shared" si="2"/>
        <v>2200</v>
      </c>
      <c r="G19" s="364"/>
      <c r="H19" s="372"/>
    </row>
    <row r="20" spans="2:8" ht="30" customHeight="1" thickBot="1" x14ac:dyDescent="0.25">
      <c r="B20" s="426" t="s">
        <v>340</v>
      </c>
      <c r="C20" s="427"/>
      <c r="D20" s="427"/>
      <c r="E20" s="427"/>
      <c r="F20" s="428"/>
      <c r="G20" s="360"/>
    </row>
    <row r="21" spans="2:8" ht="13.5" thickBot="1" x14ac:dyDescent="0.25">
      <c r="B21" s="404" t="s">
        <v>474</v>
      </c>
      <c r="C21" s="361" t="s">
        <v>341</v>
      </c>
      <c r="D21" s="362">
        <f>SUM('an 1'!E42:E44)+'an 1'!E46+'an 1'!E49</f>
        <v>18376</v>
      </c>
      <c r="E21" s="370">
        <f>D21</f>
        <v>18376</v>
      </c>
      <c r="F21" s="361"/>
      <c r="G21" s="360" t="s">
        <v>342</v>
      </c>
    </row>
    <row r="22" spans="2:8" ht="13.5" thickBot="1" x14ac:dyDescent="0.25">
      <c r="B22" s="404" t="s">
        <v>343</v>
      </c>
      <c r="C22" s="361" t="s">
        <v>344</v>
      </c>
      <c r="D22" s="362">
        <f>'an 1'!E45</f>
        <v>4800</v>
      </c>
      <c r="E22" s="370">
        <f t="shared" ref="E22:E26" si="3">D22</f>
        <v>4800</v>
      </c>
      <c r="F22" s="361"/>
      <c r="G22" s="360" t="s">
        <v>476</v>
      </c>
    </row>
    <row r="23" spans="2:8" ht="13.5" thickBot="1" x14ac:dyDescent="0.25">
      <c r="B23" s="404" t="s">
        <v>345</v>
      </c>
      <c r="C23" s="361" t="s">
        <v>346</v>
      </c>
      <c r="D23" s="362">
        <f>'an 1'!E41</f>
        <v>16000</v>
      </c>
      <c r="E23" s="370">
        <f t="shared" si="3"/>
        <v>16000</v>
      </c>
      <c r="F23" s="361"/>
      <c r="G23" s="360"/>
    </row>
    <row r="24" spans="2:8" ht="13.5" thickBot="1" x14ac:dyDescent="0.25">
      <c r="B24" s="404" t="s">
        <v>347</v>
      </c>
      <c r="C24" s="361" t="s">
        <v>348</v>
      </c>
      <c r="D24" s="362">
        <f>'an 1'!E47</f>
        <v>2500</v>
      </c>
      <c r="E24" s="370">
        <f t="shared" si="3"/>
        <v>2500</v>
      </c>
      <c r="F24" s="361"/>
      <c r="G24" s="360"/>
    </row>
    <row r="25" spans="2:8" ht="26.25" thickBot="1" x14ac:dyDescent="0.25">
      <c r="B25" s="404" t="s">
        <v>349</v>
      </c>
      <c r="C25" s="361" t="s">
        <v>350</v>
      </c>
      <c r="D25" s="362">
        <f>SUM('an 1'!E50:E65)+'an 1'!E48</f>
        <v>13930</v>
      </c>
      <c r="E25" s="370">
        <f t="shared" si="3"/>
        <v>13930</v>
      </c>
      <c r="F25" s="361"/>
      <c r="G25" s="360"/>
    </row>
    <row r="26" spans="2:8" ht="13.5" thickBot="1" x14ac:dyDescent="0.25">
      <c r="B26" s="404" t="s">
        <v>351</v>
      </c>
      <c r="C26" s="361" t="s">
        <v>352</v>
      </c>
      <c r="D26" s="362">
        <v>0</v>
      </c>
      <c r="E26" s="370">
        <f t="shared" si="3"/>
        <v>0</v>
      </c>
      <c r="F26" s="361"/>
      <c r="G26" s="373"/>
      <c r="H26" s="374"/>
    </row>
    <row r="27" spans="2:8" ht="12.95" customHeight="1" thickBot="1" x14ac:dyDescent="0.25">
      <c r="B27" s="404" t="s">
        <v>353</v>
      </c>
      <c r="C27" s="361" t="s">
        <v>354</v>
      </c>
      <c r="D27" s="362"/>
      <c r="E27" s="370"/>
      <c r="F27" s="370"/>
      <c r="G27" s="360"/>
    </row>
    <row r="28" spans="2:8" ht="64.5" thickBot="1" x14ac:dyDescent="0.25">
      <c r="B28" s="375">
        <v>4</v>
      </c>
      <c r="C28" s="365" t="s">
        <v>355</v>
      </c>
      <c r="D28" s="376">
        <f>SUM(D21:D27)</f>
        <v>55606</v>
      </c>
      <c r="E28" s="376">
        <f>SUM(E21:E27)</f>
        <v>55606</v>
      </c>
      <c r="F28" s="376">
        <f>SUM(F21:F27)</f>
        <v>0</v>
      </c>
      <c r="G28" s="364"/>
      <c r="H28" s="372"/>
    </row>
    <row r="29" spans="2:8" ht="35.1" customHeight="1" thickBot="1" x14ac:dyDescent="0.25">
      <c r="B29" s="426" t="s">
        <v>356</v>
      </c>
      <c r="C29" s="427"/>
      <c r="D29" s="427"/>
      <c r="E29" s="427"/>
      <c r="F29" s="428"/>
      <c r="G29" s="360"/>
    </row>
    <row r="30" spans="2:8" ht="13.5" thickBot="1" x14ac:dyDescent="0.25">
      <c r="B30" s="404" t="s">
        <v>357</v>
      </c>
      <c r="C30" s="368" t="s">
        <v>358</v>
      </c>
      <c r="D30" s="386">
        <f>'an 1'!P66</f>
        <v>27600</v>
      </c>
      <c r="E30" s="415">
        <f>D30/2</f>
        <v>13800</v>
      </c>
      <c r="F30" s="415">
        <f>E30</f>
        <v>13800</v>
      </c>
      <c r="G30" s="377"/>
    </row>
    <row r="31" spans="2:8" ht="51.75" thickBot="1" x14ac:dyDescent="0.25">
      <c r="B31" s="406">
        <v>5</v>
      </c>
      <c r="C31" s="378" t="s">
        <v>359</v>
      </c>
      <c r="D31" s="366">
        <f>'an 1'!P66</f>
        <v>27600</v>
      </c>
      <c r="E31" s="379">
        <f>D31/2</f>
        <v>13800</v>
      </c>
      <c r="F31" s="379">
        <f>E31</f>
        <v>13800</v>
      </c>
      <c r="G31" s="380" t="s">
        <v>437</v>
      </c>
      <c r="H31" s="381"/>
    </row>
    <row r="32" spans="2:8" ht="30.95" customHeight="1" thickBot="1" x14ac:dyDescent="0.25">
      <c r="B32" s="426" t="s">
        <v>360</v>
      </c>
      <c r="C32" s="427"/>
      <c r="D32" s="427"/>
      <c r="E32" s="427"/>
      <c r="F32" s="428"/>
      <c r="G32" s="382"/>
    </row>
    <row r="33" spans="2:7" ht="13.5" thickBot="1" x14ac:dyDescent="0.25">
      <c r="B33" s="404" t="s">
        <v>361</v>
      </c>
      <c r="C33" s="361" t="s">
        <v>472</v>
      </c>
      <c r="D33" s="369"/>
      <c r="E33" s="361"/>
      <c r="F33" s="361"/>
      <c r="G33" s="360"/>
    </row>
    <row r="34" spans="2:7" ht="13.5" thickBot="1" x14ac:dyDescent="0.25">
      <c r="B34" s="404" t="s">
        <v>362</v>
      </c>
      <c r="C34" s="361" t="s">
        <v>472</v>
      </c>
      <c r="D34" s="369"/>
      <c r="E34" s="361"/>
      <c r="F34" s="361"/>
      <c r="G34" s="360"/>
    </row>
    <row r="35" spans="2:7" ht="64.5" thickBot="1" x14ac:dyDescent="0.25">
      <c r="B35" s="405">
        <v>6</v>
      </c>
      <c r="C35" s="365" t="s">
        <v>363</v>
      </c>
      <c r="D35" s="383">
        <v>0</v>
      </c>
      <c r="E35" s="384">
        <v>0</v>
      </c>
      <c r="F35" s="384">
        <v>0</v>
      </c>
      <c r="G35" s="364"/>
    </row>
    <row r="36" spans="2:7" ht="13.5" thickBot="1" x14ac:dyDescent="0.25">
      <c r="B36" s="423" t="s">
        <v>364</v>
      </c>
      <c r="C36" s="424"/>
      <c r="D36" s="425"/>
      <c r="E36" s="385"/>
      <c r="F36" s="385"/>
      <c r="G36" s="360"/>
    </row>
    <row r="37" spans="2:7" ht="13.5" thickBot="1" x14ac:dyDescent="0.25">
      <c r="B37" s="404" t="s">
        <v>365</v>
      </c>
      <c r="C37" s="361" t="s">
        <v>366</v>
      </c>
      <c r="D37" s="386">
        <f>'an 1'!P77</f>
        <v>1100</v>
      </c>
      <c r="E37" s="400">
        <f>D37/2</f>
        <v>550</v>
      </c>
      <c r="F37" s="400">
        <f>E37</f>
        <v>550</v>
      </c>
      <c r="G37" s="377"/>
    </row>
    <row r="38" spans="2:7" ht="13.5" thickBot="1" x14ac:dyDescent="0.25">
      <c r="B38" s="404" t="s">
        <v>367</v>
      </c>
      <c r="C38" s="361" t="s">
        <v>472</v>
      </c>
      <c r="D38" s="388"/>
      <c r="E38" s="387"/>
      <c r="F38" s="387"/>
      <c r="G38" s="360"/>
    </row>
    <row r="39" spans="2:7" ht="13.5" thickBot="1" x14ac:dyDescent="0.25">
      <c r="B39" s="407">
        <v>7</v>
      </c>
      <c r="C39" s="389" t="s">
        <v>368</v>
      </c>
      <c r="D39" s="390">
        <f>D37</f>
        <v>1100</v>
      </c>
      <c r="E39" s="390">
        <f t="shared" ref="E39:F39" si="4">E37</f>
        <v>550</v>
      </c>
      <c r="F39" s="390">
        <f t="shared" si="4"/>
        <v>550</v>
      </c>
      <c r="G39" s="391"/>
    </row>
    <row r="40" spans="2:7" ht="13.5" thickBot="1" x14ac:dyDescent="0.25">
      <c r="B40" s="423" t="s">
        <v>369</v>
      </c>
      <c r="C40" s="424"/>
      <c r="D40" s="425"/>
      <c r="E40" s="368"/>
      <c r="F40" s="368"/>
      <c r="G40" s="360"/>
    </row>
    <row r="41" spans="2:7" ht="13.5" thickBot="1" x14ac:dyDescent="0.25">
      <c r="B41" s="404" t="s">
        <v>370</v>
      </c>
      <c r="C41" s="361" t="s">
        <v>472</v>
      </c>
      <c r="D41" s="369"/>
      <c r="E41" s="361"/>
      <c r="F41" s="361"/>
      <c r="G41" s="360"/>
    </row>
    <row r="42" spans="2:7" ht="13.5" thickBot="1" x14ac:dyDescent="0.25">
      <c r="B42" s="404" t="s">
        <v>371</v>
      </c>
      <c r="C42" s="361" t="s">
        <v>472</v>
      </c>
      <c r="D42" s="369"/>
      <c r="E42" s="361"/>
      <c r="F42" s="361"/>
      <c r="G42" s="360"/>
    </row>
    <row r="43" spans="2:7" ht="26.25" thickBot="1" x14ac:dyDescent="0.25">
      <c r="B43" s="405">
        <v>8</v>
      </c>
      <c r="C43" s="365" t="s">
        <v>372</v>
      </c>
      <c r="D43" s="383">
        <v>0</v>
      </c>
      <c r="E43" s="384">
        <v>0</v>
      </c>
      <c r="F43" s="384">
        <v>0</v>
      </c>
      <c r="G43" s="364"/>
    </row>
    <row r="44" spans="2:7" ht="13.5" thickBot="1" x14ac:dyDescent="0.25">
      <c r="B44" s="423" t="s">
        <v>373</v>
      </c>
      <c r="C44" s="424"/>
      <c r="D44" s="425"/>
      <c r="E44" s="368"/>
      <c r="F44" s="368"/>
      <c r="G44" s="360"/>
    </row>
    <row r="45" spans="2:7" ht="13.5" thickBot="1" x14ac:dyDescent="0.25">
      <c r="B45" s="404" t="s">
        <v>374</v>
      </c>
      <c r="C45" s="361" t="s">
        <v>472</v>
      </c>
      <c r="D45" s="392"/>
      <c r="E45" s="361"/>
      <c r="F45" s="361"/>
      <c r="G45" s="360"/>
    </row>
    <row r="46" spans="2:7" ht="13.5" thickBot="1" x14ac:dyDescent="0.25">
      <c r="B46" s="404" t="s">
        <v>375</v>
      </c>
      <c r="C46" s="361" t="s">
        <v>472</v>
      </c>
      <c r="D46" s="369"/>
      <c r="E46" s="361"/>
      <c r="F46" s="361"/>
      <c r="G46" s="360"/>
    </row>
    <row r="47" spans="2:7" ht="39" thickBot="1" x14ac:dyDescent="0.25">
      <c r="B47" s="405">
        <v>9</v>
      </c>
      <c r="C47" s="365" t="s">
        <v>376</v>
      </c>
      <c r="D47" s="383">
        <v>0</v>
      </c>
      <c r="E47" s="384">
        <v>0</v>
      </c>
      <c r="F47" s="384">
        <v>0</v>
      </c>
      <c r="G47" s="364"/>
    </row>
    <row r="48" spans="2:7" ht="13.5" thickBot="1" x14ac:dyDescent="0.25">
      <c r="B48" s="423" t="s">
        <v>377</v>
      </c>
      <c r="C48" s="424"/>
      <c r="D48" s="425"/>
      <c r="E48" s="368"/>
      <c r="F48" s="368"/>
      <c r="G48" s="360"/>
    </row>
    <row r="49" spans="2:7" ht="13.5" thickBot="1" x14ac:dyDescent="0.25">
      <c r="B49" s="404" t="s">
        <v>378</v>
      </c>
      <c r="C49" s="361" t="s">
        <v>473</v>
      </c>
      <c r="D49" s="369"/>
      <c r="E49" s="361"/>
      <c r="F49" s="361"/>
      <c r="G49" s="360"/>
    </row>
    <row r="50" spans="2:7" ht="13.5" thickBot="1" x14ac:dyDescent="0.25">
      <c r="B50" s="404" t="s">
        <v>379</v>
      </c>
      <c r="C50" s="361" t="s">
        <v>473</v>
      </c>
      <c r="D50" s="369"/>
      <c r="E50" s="361"/>
      <c r="F50" s="361"/>
      <c r="G50" s="360"/>
    </row>
    <row r="51" spans="2:7" ht="26.25" thickBot="1" x14ac:dyDescent="0.25">
      <c r="B51" s="405">
        <v>10</v>
      </c>
      <c r="C51" s="393" t="s">
        <v>380</v>
      </c>
      <c r="D51" s="383">
        <v>0</v>
      </c>
      <c r="E51" s="384">
        <v>0</v>
      </c>
      <c r="F51" s="384">
        <v>0</v>
      </c>
      <c r="G51" s="364"/>
    </row>
    <row r="52" spans="2:7" ht="13.5" thickBot="1" x14ac:dyDescent="0.25">
      <c r="B52" s="423" t="s">
        <v>381</v>
      </c>
      <c r="C52" s="424"/>
      <c r="D52" s="425"/>
      <c r="E52" s="368"/>
      <c r="F52" s="368"/>
      <c r="G52" s="360"/>
    </row>
    <row r="53" spans="2:7" ht="13.5" thickBot="1" x14ac:dyDescent="0.25">
      <c r="B53" s="404">
        <v>11</v>
      </c>
      <c r="C53" s="361" t="s">
        <v>382</v>
      </c>
      <c r="D53" s="394">
        <f>'an 1'!P88</f>
        <v>0</v>
      </c>
      <c r="E53" s="361"/>
      <c r="F53" s="361"/>
      <c r="G53" s="360"/>
    </row>
    <row r="54" spans="2:7" ht="26.25" thickBot="1" x14ac:dyDescent="0.25">
      <c r="B54" s="405"/>
      <c r="C54" s="365" t="s">
        <v>383</v>
      </c>
      <c r="D54" s="395">
        <f>D53</f>
        <v>0</v>
      </c>
      <c r="E54" s="396">
        <v>0</v>
      </c>
      <c r="F54" s="396">
        <v>0</v>
      </c>
      <c r="G54" s="364" t="s">
        <v>384</v>
      </c>
    </row>
    <row r="55" spans="2:7" ht="33" customHeight="1" thickBot="1" x14ac:dyDescent="0.25">
      <c r="B55" s="423" t="s">
        <v>385</v>
      </c>
      <c r="C55" s="424"/>
      <c r="D55" s="425"/>
      <c r="E55" s="368"/>
      <c r="F55" s="368"/>
      <c r="G55" s="360"/>
    </row>
    <row r="56" spans="2:7" ht="13.5" thickBot="1" x14ac:dyDescent="0.25">
      <c r="B56" s="404" t="s">
        <v>386</v>
      </c>
      <c r="C56" s="361" t="s">
        <v>472</v>
      </c>
      <c r="D56" s="369"/>
      <c r="E56" s="361"/>
      <c r="F56" s="361"/>
      <c r="G56" s="360"/>
    </row>
    <row r="57" spans="2:7" ht="13.5" thickBot="1" x14ac:dyDescent="0.25">
      <c r="B57" s="404" t="s">
        <v>387</v>
      </c>
      <c r="C57" s="361" t="s">
        <v>472</v>
      </c>
      <c r="D57" s="369"/>
      <c r="E57" s="361"/>
      <c r="F57" s="361"/>
      <c r="G57" s="360"/>
    </row>
    <row r="58" spans="2:7" ht="26.25" thickBot="1" x14ac:dyDescent="0.25">
      <c r="B58" s="405">
        <v>12</v>
      </c>
      <c r="C58" s="365" t="s">
        <v>388</v>
      </c>
      <c r="D58" s="383">
        <v>0</v>
      </c>
      <c r="E58" s="384">
        <v>0</v>
      </c>
      <c r="F58" s="384">
        <v>0</v>
      </c>
      <c r="G58" s="364"/>
    </row>
    <row r="59" spans="2:7" ht="13.5" thickBot="1" x14ac:dyDescent="0.25">
      <c r="B59" s="423" t="s">
        <v>389</v>
      </c>
      <c r="C59" s="424"/>
      <c r="D59" s="425"/>
      <c r="E59" s="368"/>
      <c r="F59" s="368"/>
      <c r="G59" s="360"/>
    </row>
    <row r="60" spans="2:7" ht="13.5" thickBot="1" x14ac:dyDescent="0.25">
      <c r="B60" s="404" t="s">
        <v>390</v>
      </c>
      <c r="C60" s="361" t="s">
        <v>472</v>
      </c>
      <c r="D60" s="369"/>
      <c r="E60" s="361"/>
      <c r="F60" s="361"/>
      <c r="G60" s="360"/>
    </row>
    <row r="61" spans="2:7" ht="13.5" thickBot="1" x14ac:dyDescent="0.25">
      <c r="B61" s="404" t="s">
        <v>391</v>
      </c>
      <c r="C61" s="361" t="s">
        <v>472</v>
      </c>
      <c r="D61" s="369"/>
      <c r="E61" s="361"/>
      <c r="F61" s="361"/>
      <c r="G61" s="360"/>
    </row>
    <row r="62" spans="2:7" ht="26.25" thickBot="1" x14ac:dyDescent="0.25">
      <c r="B62" s="405">
        <v>13</v>
      </c>
      <c r="C62" s="365" t="s">
        <v>392</v>
      </c>
      <c r="D62" s="383">
        <v>0</v>
      </c>
      <c r="E62" s="384">
        <v>0</v>
      </c>
      <c r="F62" s="384">
        <v>0</v>
      </c>
      <c r="G62" s="364"/>
    </row>
    <row r="63" spans="2:7" ht="13.5" thickBot="1" x14ac:dyDescent="0.25">
      <c r="B63" s="423" t="s">
        <v>393</v>
      </c>
      <c r="C63" s="424"/>
      <c r="D63" s="425"/>
      <c r="E63" s="368"/>
      <c r="F63" s="368"/>
      <c r="G63" s="360"/>
    </row>
    <row r="64" spans="2:7" ht="13.5" thickBot="1" x14ac:dyDescent="0.25">
      <c r="B64" s="404" t="s">
        <v>394</v>
      </c>
      <c r="C64" s="361" t="s">
        <v>395</v>
      </c>
      <c r="D64" s="362">
        <f>'an 1'!P94</f>
        <v>11081</v>
      </c>
      <c r="E64" s="362">
        <f>('an 1'!P94-3741)</f>
        <v>7340</v>
      </c>
      <c r="F64" s="362">
        <v>906</v>
      </c>
      <c r="G64" s="360" t="s">
        <v>475</v>
      </c>
    </row>
    <row r="65" spans="2:9" ht="13.5" thickBot="1" x14ac:dyDescent="0.25">
      <c r="B65" s="404" t="s">
        <v>396</v>
      </c>
      <c r="C65" s="361" t="s">
        <v>472</v>
      </c>
      <c r="D65" s="362"/>
      <c r="E65" s="362"/>
      <c r="F65" s="362"/>
      <c r="G65" s="360"/>
    </row>
    <row r="66" spans="2:9" ht="26.25" thickBot="1" x14ac:dyDescent="0.25">
      <c r="B66" s="405">
        <v>14</v>
      </c>
      <c r="C66" s="365" t="s">
        <v>397</v>
      </c>
      <c r="D66" s="366">
        <f>D64</f>
        <v>11081</v>
      </c>
      <c r="E66" s="366">
        <f>E64</f>
        <v>7340</v>
      </c>
      <c r="F66" s="366">
        <v>906</v>
      </c>
      <c r="G66" s="364"/>
    </row>
    <row r="67" spans="2:9" ht="13.5" thickBot="1" x14ac:dyDescent="0.25">
      <c r="B67" s="423" t="s">
        <v>398</v>
      </c>
      <c r="C67" s="424"/>
      <c r="D67" s="425"/>
      <c r="E67" s="368"/>
      <c r="F67" s="368"/>
      <c r="G67" s="360"/>
    </row>
    <row r="68" spans="2:9" ht="13.5" thickBot="1" x14ac:dyDescent="0.25">
      <c r="B68" s="404">
        <v>15.1</v>
      </c>
      <c r="C68" s="361" t="s">
        <v>399</v>
      </c>
      <c r="D68" s="369"/>
      <c r="E68" s="361"/>
      <c r="F68" s="361"/>
      <c r="G68" s="360"/>
    </row>
    <row r="69" spans="2:9" ht="13.5" thickBot="1" x14ac:dyDescent="0.25">
      <c r="B69" s="404">
        <v>15.2</v>
      </c>
      <c r="C69" s="361" t="s">
        <v>400</v>
      </c>
      <c r="D69" s="369"/>
      <c r="E69" s="361"/>
      <c r="F69" s="361"/>
      <c r="G69" s="360"/>
    </row>
    <row r="70" spans="2:9" ht="26.45" customHeight="1" thickBot="1" x14ac:dyDescent="0.25">
      <c r="B70" s="404">
        <v>15.3</v>
      </c>
      <c r="C70" s="361" t="s">
        <v>401</v>
      </c>
      <c r="D70" s="369"/>
      <c r="E70" s="361"/>
      <c r="F70" s="361"/>
      <c r="G70" s="360"/>
    </row>
    <row r="71" spans="2:9" ht="26.25" thickBot="1" x14ac:dyDescent="0.25">
      <c r="B71" s="404">
        <v>15.4</v>
      </c>
      <c r="C71" s="361" t="s">
        <v>402</v>
      </c>
      <c r="D71" s="369"/>
      <c r="E71" s="361"/>
      <c r="F71" s="361"/>
      <c r="G71" s="360"/>
    </row>
    <row r="72" spans="2:9" ht="13.5" thickBot="1" x14ac:dyDescent="0.25">
      <c r="B72" s="404">
        <v>15.5</v>
      </c>
      <c r="C72" s="361" t="s">
        <v>403</v>
      </c>
      <c r="D72" s="369">
        <v>0</v>
      </c>
      <c r="E72" s="361"/>
      <c r="F72" s="361"/>
      <c r="G72" s="360"/>
    </row>
    <row r="73" spans="2:9" ht="26.25" thickBot="1" x14ac:dyDescent="0.25">
      <c r="B73" s="405">
        <v>15</v>
      </c>
      <c r="C73" s="365" t="s">
        <v>404</v>
      </c>
      <c r="D73" s="383">
        <v>0</v>
      </c>
      <c r="E73" s="384">
        <v>0</v>
      </c>
      <c r="F73" s="384">
        <v>0</v>
      </c>
      <c r="G73" s="364"/>
    </row>
    <row r="74" spans="2:9" ht="13.5" thickBot="1" x14ac:dyDescent="0.25">
      <c r="B74" s="408"/>
      <c r="C74" s="401" t="s">
        <v>405</v>
      </c>
      <c r="D74" s="402">
        <f>D73+D66+D62+D58+D53+D51+D47+D43+D39+D35+D31+D28+D19+D13+D7</f>
        <v>181175</v>
      </c>
      <c r="E74" s="402">
        <f t="shared" ref="E74:F74" si="5">E73+E66+E62+E58+E53+E51+E47+E43+E39+E35+E31+E28+E19+E13+E7</f>
        <v>133754.66666666666</v>
      </c>
      <c r="F74" s="402">
        <f t="shared" si="5"/>
        <v>44585.333333333336</v>
      </c>
      <c r="G74" s="364"/>
      <c r="H74" s="374">
        <f>E75-E74</f>
        <v>0.33333333334303461</v>
      </c>
      <c r="I74" s="374">
        <f>F75-F74</f>
        <v>-0.33333333333575865</v>
      </c>
    </row>
    <row r="75" spans="2:9" ht="14.45" customHeight="1" thickBot="1" x14ac:dyDescent="0.25">
      <c r="B75" s="421" t="s">
        <v>406</v>
      </c>
      <c r="C75" s="422"/>
      <c r="D75" s="409">
        <v>178340</v>
      </c>
      <c r="E75" s="414">
        <v>133755</v>
      </c>
      <c r="F75" s="410">
        <v>44585</v>
      </c>
    </row>
    <row r="76" spans="2:9" x14ac:dyDescent="0.2">
      <c r="D76" s="397"/>
      <c r="E76" s="374">
        <f>E75-E74</f>
        <v>0.33333333334303461</v>
      </c>
      <c r="F76" s="374">
        <f>F75-F74</f>
        <v>-0.33333333333575865</v>
      </c>
    </row>
  </sheetData>
  <mergeCells count="16">
    <mergeCell ref="B75:C75"/>
    <mergeCell ref="B3:D3"/>
    <mergeCell ref="B8:D8"/>
    <mergeCell ref="B20:F20"/>
    <mergeCell ref="B29:F29"/>
    <mergeCell ref="B14:F14"/>
    <mergeCell ref="B32:F32"/>
    <mergeCell ref="B59:D59"/>
    <mergeCell ref="B63:D63"/>
    <mergeCell ref="B67:D67"/>
    <mergeCell ref="B36:D36"/>
    <mergeCell ref="B40:D40"/>
    <mergeCell ref="B44:D44"/>
    <mergeCell ref="B48:D48"/>
    <mergeCell ref="B52:D52"/>
    <mergeCell ref="B55:D55"/>
  </mergeCells>
  <pageMargins left="0.7" right="0.7" top="0.75" bottom="0.75" header="0.3" footer="0.3"/>
  <pageSetup scale="86" fitToHeight="2"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R115"/>
  <sheetViews>
    <sheetView topLeftCell="A88" zoomScale="70" zoomScaleNormal="70" workbookViewId="0">
      <selection activeCell="E100" sqref="E100"/>
    </sheetView>
  </sheetViews>
  <sheetFormatPr defaultColWidth="8.7109375" defaultRowHeight="16.5" outlineLevelRow="1" x14ac:dyDescent="0.3"/>
  <cols>
    <col min="1" max="1" width="8.7109375" style="7"/>
    <col min="2" max="2" width="46.42578125" style="292" customWidth="1"/>
    <col min="3" max="4" width="8.7109375" style="7"/>
    <col min="5" max="5" width="11.42578125" style="65" customWidth="1"/>
    <col min="6" max="8" width="8.7109375" style="7"/>
    <col min="9" max="9" width="10.5703125" style="7" customWidth="1"/>
    <col min="10" max="10" width="10.42578125" style="7" customWidth="1"/>
    <col min="11" max="11" width="11.28515625" style="7" customWidth="1"/>
    <col min="12" max="12" width="11.5703125" style="7" customWidth="1"/>
    <col min="13" max="13" width="12" style="7" customWidth="1"/>
    <col min="14" max="14" width="11.7109375" style="7" customWidth="1"/>
    <col min="15" max="15" width="11.140625" style="7" customWidth="1"/>
    <col min="16" max="16" width="15.5703125" style="7" customWidth="1"/>
    <col min="17" max="17" width="9.85546875" style="7" customWidth="1"/>
    <col min="18" max="18" width="54.7109375" style="7" customWidth="1"/>
    <col min="19" max="16384" width="8.7109375" style="7"/>
  </cols>
  <sheetData>
    <row r="1" spans="2:18" x14ac:dyDescent="0.3">
      <c r="Q1" s="7">
        <f>4000*57.2%</f>
        <v>2288.0000000000005</v>
      </c>
      <c r="R1" s="292"/>
    </row>
    <row r="2" spans="2:18" x14ac:dyDescent="0.3">
      <c r="Q2" s="7">
        <f>4000-Q1</f>
        <v>1711.9999999999995</v>
      </c>
      <c r="R2" s="292"/>
    </row>
    <row r="3" spans="2:18" ht="25.5" x14ac:dyDescent="0.35">
      <c r="B3" s="429" t="s">
        <v>446</v>
      </c>
      <c r="C3" s="429"/>
      <c r="D3" s="429"/>
      <c r="E3" s="429"/>
      <c r="F3" s="429"/>
      <c r="G3" s="429"/>
      <c r="H3" s="429"/>
      <c r="I3" s="429"/>
      <c r="J3" s="429"/>
      <c r="K3" s="429"/>
      <c r="L3" s="429"/>
      <c r="M3" s="429"/>
      <c r="N3" s="429"/>
      <c r="O3" s="429"/>
      <c r="P3" s="307"/>
      <c r="Q3" s="308">
        <f>P5-Q5</f>
        <v>-39220</v>
      </c>
      <c r="R3" s="309"/>
    </row>
    <row r="4" spans="2:18" x14ac:dyDescent="0.3">
      <c r="B4" s="293"/>
      <c r="C4" s="310"/>
      <c r="D4" s="310" t="s">
        <v>1</v>
      </c>
      <c r="E4" s="341" t="s">
        <v>2</v>
      </c>
      <c r="F4" s="310" t="s">
        <v>3</v>
      </c>
      <c r="G4" s="310" t="s">
        <v>4</v>
      </c>
      <c r="H4" s="310" t="s">
        <v>5</v>
      </c>
      <c r="I4" s="310" t="s">
        <v>6</v>
      </c>
      <c r="J4" s="310" t="s">
        <v>7</v>
      </c>
      <c r="K4" s="310" t="s">
        <v>8</v>
      </c>
      <c r="L4" s="310" t="s">
        <v>9</v>
      </c>
      <c r="M4" s="310" t="s">
        <v>10</v>
      </c>
      <c r="N4" s="310" t="s">
        <v>11</v>
      </c>
      <c r="O4" s="310" t="s">
        <v>12</v>
      </c>
      <c r="P4" s="310" t="s">
        <v>278</v>
      </c>
      <c r="Q4" s="311" t="s">
        <v>275</v>
      </c>
      <c r="R4" s="312" t="s">
        <v>300</v>
      </c>
    </row>
    <row r="5" spans="2:18" ht="33.6" customHeight="1" x14ac:dyDescent="0.3">
      <c r="B5" s="294" t="s">
        <v>13</v>
      </c>
      <c r="C5" s="313"/>
      <c r="D5" s="313">
        <v>0</v>
      </c>
      <c r="E5" s="342">
        <f>E6+E15</f>
        <v>4397</v>
      </c>
      <c r="F5" s="342">
        <f t="shared" ref="F5:O5" si="0">F6+F15</f>
        <v>4397</v>
      </c>
      <c r="G5" s="342">
        <f t="shared" si="0"/>
        <v>8066</v>
      </c>
      <c r="H5" s="342">
        <f t="shared" si="0"/>
        <v>8066</v>
      </c>
      <c r="I5" s="342">
        <f t="shared" si="0"/>
        <v>8066</v>
      </c>
      <c r="J5" s="342">
        <f t="shared" si="0"/>
        <v>8066</v>
      </c>
      <c r="K5" s="342">
        <f t="shared" si="0"/>
        <v>8066</v>
      </c>
      <c r="L5" s="342">
        <f t="shared" si="0"/>
        <v>8066</v>
      </c>
      <c r="M5" s="342">
        <f t="shared" si="0"/>
        <v>8066</v>
      </c>
      <c r="N5" s="342">
        <f t="shared" si="0"/>
        <v>8066</v>
      </c>
      <c r="O5" s="342">
        <f t="shared" si="0"/>
        <v>8066</v>
      </c>
      <c r="P5" s="314">
        <f>P6+P15</f>
        <v>81388</v>
      </c>
      <c r="Q5" s="315">
        <f>SUM(Q7:Q17)</f>
        <v>120608</v>
      </c>
      <c r="R5" s="316" t="s">
        <v>301</v>
      </c>
    </row>
    <row r="6" spans="2:18" x14ac:dyDescent="0.3">
      <c r="B6" s="295" t="s">
        <v>14</v>
      </c>
      <c r="C6" s="317"/>
      <c r="D6" s="317">
        <v>0</v>
      </c>
      <c r="E6" s="343">
        <f>SUM(E7:E8)</f>
        <v>2515</v>
      </c>
      <c r="F6" s="317">
        <f t="shared" ref="F6:O6" si="1">SUM(F7:F8)</f>
        <v>2515</v>
      </c>
      <c r="G6" s="317">
        <f t="shared" si="1"/>
        <v>4615</v>
      </c>
      <c r="H6" s="317">
        <f t="shared" si="1"/>
        <v>4615</v>
      </c>
      <c r="I6" s="317">
        <f t="shared" si="1"/>
        <v>4615</v>
      </c>
      <c r="J6" s="317">
        <f t="shared" si="1"/>
        <v>4615</v>
      </c>
      <c r="K6" s="317">
        <f t="shared" si="1"/>
        <v>4615</v>
      </c>
      <c r="L6" s="317">
        <f t="shared" si="1"/>
        <v>4615</v>
      </c>
      <c r="M6" s="317">
        <f t="shared" si="1"/>
        <v>4615</v>
      </c>
      <c r="N6" s="317">
        <f t="shared" si="1"/>
        <v>4615</v>
      </c>
      <c r="O6" s="317">
        <f t="shared" si="1"/>
        <v>4615</v>
      </c>
      <c r="P6" s="322">
        <f>SUM(D6:O6)</f>
        <v>46565</v>
      </c>
      <c r="Q6" s="315">
        <f>P6</f>
        <v>46565</v>
      </c>
      <c r="R6" s="430" t="s">
        <v>407</v>
      </c>
    </row>
    <row r="7" spans="2:18" ht="24.6" customHeight="1" x14ac:dyDescent="0.3">
      <c r="B7" s="296" t="s">
        <v>15</v>
      </c>
      <c r="C7" s="319"/>
      <c r="D7" s="318">
        <v>0</v>
      </c>
      <c r="E7" s="344">
        <v>2515</v>
      </c>
      <c r="F7" s="318">
        <v>2515</v>
      </c>
      <c r="G7" s="318">
        <v>2515</v>
      </c>
      <c r="H7" s="318">
        <v>2515</v>
      </c>
      <c r="I7" s="318">
        <v>2515</v>
      </c>
      <c r="J7" s="318">
        <v>2515</v>
      </c>
      <c r="K7" s="318">
        <v>2515</v>
      </c>
      <c r="L7" s="318">
        <v>2515</v>
      </c>
      <c r="M7" s="318">
        <v>2515</v>
      </c>
      <c r="N7" s="318">
        <v>2515</v>
      </c>
      <c r="O7" s="318">
        <v>2515</v>
      </c>
      <c r="P7" s="318">
        <f>SUM(D7:O7)</f>
        <v>27665</v>
      </c>
      <c r="Q7" s="315">
        <f>O7*12</f>
        <v>30180</v>
      </c>
      <c r="R7" s="431"/>
    </row>
    <row r="8" spans="2:18" ht="18.600000000000001" customHeight="1" x14ac:dyDescent="0.3">
      <c r="B8" s="296" t="s">
        <v>16</v>
      </c>
      <c r="C8" s="319"/>
      <c r="D8" s="318">
        <v>0</v>
      </c>
      <c r="E8" s="344">
        <v>0</v>
      </c>
      <c r="F8" s="318">
        <v>0</v>
      </c>
      <c r="G8" s="318">
        <v>2100</v>
      </c>
      <c r="H8" s="318">
        <f>G8</f>
        <v>2100</v>
      </c>
      <c r="I8" s="318">
        <f t="shared" ref="I8:O8" si="2">H8</f>
        <v>2100</v>
      </c>
      <c r="J8" s="318">
        <f t="shared" si="2"/>
        <v>2100</v>
      </c>
      <c r="K8" s="318">
        <f t="shared" si="2"/>
        <v>2100</v>
      </c>
      <c r="L8" s="318">
        <f t="shared" si="2"/>
        <v>2100</v>
      </c>
      <c r="M8" s="318">
        <f t="shared" si="2"/>
        <v>2100</v>
      </c>
      <c r="N8" s="318">
        <f t="shared" si="2"/>
        <v>2100</v>
      </c>
      <c r="O8" s="318">
        <f t="shared" si="2"/>
        <v>2100</v>
      </c>
      <c r="P8" s="318">
        <f>SUM(D8:O8)</f>
        <v>18900</v>
      </c>
      <c r="Q8" s="315">
        <f>O8*9</f>
        <v>18900</v>
      </c>
      <c r="R8" s="316" t="s">
        <v>302</v>
      </c>
    </row>
    <row r="9" spans="2:18" ht="74.099999999999994" hidden="1" customHeight="1" outlineLevel="1" x14ac:dyDescent="0.3">
      <c r="B9" s="296" t="s">
        <v>17</v>
      </c>
      <c r="C9" s="319"/>
      <c r="D9" s="318"/>
      <c r="E9" s="344"/>
      <c r="F9" s="318"/>
      <c r="G9" s="318"/>
      <c r="H9" s="318"/>
      <c r="I9" s="318"/>
      <c r="J9" s="318"/>
      <c r="K9" s="318"/>
      <c r="L9" s="318"/>
      <c r="M9" s="318"/>
      <c r="N9" s="318"/>
      <c r="O9" s="318"/>
      <c r="P9" s="318"/>
      <c r="Q9" s="315"/>
      <c r="R9" s="320"/>
    </row>
    <row r="10" spans="2:18" ht="74.099999999999994" hidden="1" customHeight="1" outlineLevel="1" x14ac:dyDescent="0.3">
      <c r="B10" s="296" t="s">
        <v>18</v>
      </c>
      <c r="C10" s="319"/>
      <c r="D10" s="318"/>
      <c r="E10" s="344"/>
      <c r="F10" s="318"/>
      <c r="G10" s="318"/>
      <c r="H10" s="318"/>
      <c r="I10" s="318"/>
      <c r="J10" s="318"/>
      <c r="K10" s="318"/>
      <c r="L10" s="318"/>
      <c r="M10" s="318"/>
      <c r="N10" s="318"/>
      <c r="O10" s="318"/>
      <c r="P10" s="318"/>
      <c r="Q10" s="315"/>
      <c r="R10" s="320"/>
    </row>
    <row r="11" spans="2:18" ht="74.099999999999994" hidden="1" customHeight="1" outlineLevel="1" x14ac:dyDescent="0.3">
      <c r="B11" s="296" t="s">
        <v>19</v>
      </c>
      <c r="C11" s="319"/>
      <c r="D11" s="318"/>
      <c r="E11" s="344"/>
      <c r="F11" s="318"/>
      <c r="G11" s="318"/>
      <c r="H11" s="318"/>
      <c r="I11" s="318"/>
      <c r="J11" s="318"/>
      <c r="K11" s="318"/>
      <c r="L11" s="318"/>
      <c r="M11" s="318"/>
      <c r="N11" s="318"/>
      <c r="O11" s="318"/>
      <c r="P11" s="318"/>
      <c r="Q11" s="315"/>
      <c r="R11" s="320"/>
    </row>
    <row r="12" spans="2:18" ht="38.1" customHeight="1" collapsed="1" x14ac:dyDescent="0.3">
      <c r="B12" s="297" t="s">
        <v>20</v>
      </c>
      <c r="C12" s="321"/>
      <c r="D12" s="321">
        <f>D13+D14</f>
        <v>0</v>
      </c>
      <c r="E12" s="345">
        <f t="shared" ref="E12:O12" si="3">E13+E14</f>
        <v>0</v>
      </c>
      <c r="F12" s="321">
        <f t="shared" si="3"/>
        <v>0</v>
      </c>
      <c r="G12" s="321">
        <f t="shared" si="3"/>
        <v>0</v>
      </c>
      <c r="H12" s="321">
        <f t="shared" si="3"/>
        <v>0</v>
      </c>
      <c r="I12" s="321">
        <f t="shared" si="3"/>
        <v>0</v>
      </c>
      <c r="J12" s="321">
        <f t="shared" si="3"/>
        <v>0</v>
      </c>
      <c r="K12" s="321">
        <f t="shared" si="3"/>
        <v>0</v>
      </c>
      <c r="L12" s="321">
        <f t="shared" si="3"/>
        <v>0</v>
      </c>
      <c r="M12" s="321">
        <f t="shared" si="3"/>
        <v>0</v>
      </c>
      <c r="N12" s="321">
        <f t="shared" si="3"/>
        <v>0</v>
      </c>
      <c r="O12" s="321">
        <f t="shared" si="3"/>
        <v>0</v>
      </c>
      <c r="P12" s="318">
        <f t="shared" ref="P12:P17" si="4">SUM(D12:O12)</f>
        <v>0</v>
      </c>
      <c r="Q12" s="315"/>
      <c r="R12" s="316" t="s">
        <v>408</v>
      </c>
    </row>
    <row r="13" spans="2:18" x14ac:dyDescent="0.3">
      <c r="B13" s="296" t="s">
        <v>279</v>
      </c>
      <c r="C13" s="319"/>
      <c r="D13" s="318">
        <v>0</v>
      </c>
      <c r="E13" s="344"/>
      <c r="F13" s="318"/>
      <c r="G13" s="318"/>
      <c r="H13" s="318"/>
      <c r="I13" s="318"/>
      <c r="J13" s="318"/>
      <c r="K13" s="318"/>
      <c r="L13" s="318"/>
      <c r="M13" s="318"/>
      <c r="N13" s="318"/>
      <c r="O13" s="318"/>
      <c r="P13" s="318">
        <f t="shared" si="4"/>
        <v>0</v>
      </c>
      <c r="Q13" s="315"/>
      <c r="R13" s="320"/>
    </row>
    <row r="14" spans="2:18" x14ac:dyDescent="0.3">
      <c r="B14" s="296" t="s">
        <v>279</v>
      </c>
      <c r="C14" s="319"/>
      <c r="D14" s="318">
        <v>0</v>
      </c>
      <c r="E14" s="344">
        <f>D14</f>
        <v>0</v>
      </c>
      <c r="F14" s="318">
        <f t="shared" ref="F14:O14" si="5">E14</f>
        <v>0</v>
      </c>
      <c r="G14" s="318">
        <f t="shared" si="5"/>
        <v>0</v>
      </c>
      <c r="H14" s="318">
        <f t="shared" si="5"/>
        <v>0</v>
      </c>
      <c r="I14" s="318">
        <f t="shared" si="5"/>
        <v>0</v>
      </c>
      <c r="J14" s="318">
        <f t="shared" si="5"/>
        <v>0</v>
      </c>
      <c r="K14" s="318">
        <f t="shared" si="5"/>
        <v>0</v>
      </c>
      <c r="L14" s="318">
        <f t="shared" si="5"/>
        <v>0</v>
      </c>
      <c r="M14" s="318">
        <f t="shared" si="5"/>
        <v>0</v>
      </c>
      <c r="N14" s="318">
        <f t="shared" si="5"/>
        <v>0</v>
      </c>
      <c r="O14" s="318">
        <f t="shared" si="5"/>
        <v>0</v>
      </c>
      <c r="P14" s="318">
        <f t="shared" si="4"/>
        <v>0</v>
      </c>
      <c r="Q14" s="315"/>
      <c r="R14" s="320"/>
    </row>
    <row r="15" spans="2:18" ht="48" x14ac:dyDescent="0.3">
      <c r="B15" s="297" t="s">
        <v>21</v>
      </c>
      <c r="C15" s="319"/>
      <c r="D15" s="322">
        <v>0</v>
      </c>
      <c r="E15" s="346">
        <f>SUM(E16:E17)</f>
        <v>1882</v>
      </c>
      <c r="F15" s="322">
        <f t="shared" ref="F15:O15" si="6">SUM(F16:F17)</f>
        <v>1882</v>
      </c>
      <c r="G15" s="322">
        <f t="shared" si="6"/>
        <v>3451</v>
      </c>
      <c r="H15" s="322">
        <f t="shared" si="6"/>
        <v>3451</v>
      </c>
      <c r="I15" s="322">
        <f t="shared" si="6"/>
        <v>3451</v>
      </c>
      <c r="J15" s="322">
        <f t="shared" si="6"/>
        <v>3451</v>
      </c>
      <c r="K15" s="322">
        <f t="shared" si="6"/>
        <v>3451</v>
      </c>
      <c r="L15" s="322">
        <f t="shared" si="6"/>
        <v>3451</v>
      </c>
      <c r="M15" s="322">
        <f t="shared" si="6"/>
        <v>3451</v>
      </c>
      <c r="N15" s="322">
        <f t="shared" si="6"/>
        <v>3451</v>
      </c>
      <c r="O15" s="322">
        <f t="shared" si="6"/>
        <v>3451</v>
      </c>
      <c r="P15" s="322">
        <f t="shared" si="4"/>
        <v>34823</v>
      </c>
      <c r="Q15" s="315">
        <f>P15</f>
        <v>34823</v>
      </c>
      <c r="R15" s="316" t="s">
        <v>303</v>
      </c>
    </row>
    <row r="16" spans="2:18" x14ac:dyDescent="0.3">
      <c r="B16" s="296" t="s">
        <v>15</v>
      </c>
      <c r="C16" s="319"/>
      <c r="D16" s="318">
        <v>0</v>
      </c>
      <c r="E16" s="344">
        <v>1882</v>
      </c>
      <c r="F16" s="318">
        <f t="shared" ref="F16:O16" si="7">E16</f>
        <v>1882</v>
      </c>
      <c r="G16" s="318">
        <f t="shared" si="7"/>
        <v>1882</v>
      </c>
      <c r="H16" s="318">
        <f t="shared" si="7"/>
        <v>1882</v>
      </c>
      <c r="I16" s="318">
        <f t="shared" si="7"/>
        <v>1882</v>
      </c>
      <c r="J16" s="318">
        <f t="shared" si="7"/>
        <v>1882</v>
      </c>
      <c r="K16" s="318">
        <f t="shared" si="7"/>
        <v>1882</v>
      </c>
      <c r="L16" s="318">
        <f t="shared" si="7"/>
        <v>1882</v>
      </c>
      <c r="M16" s="318">
        <f t="shared" si="7"/>
        <v>1882</v>
      </c>
      <c r="N16" s="318">
        <f t="shared" si="7"/>
        <v>1882</v>
      </c>
      <c r="O16" s="318">
        <f t="shared" si="7"/>
        <v>1882</v>
      </c>
      <c r="P16" s="318">
        <f t="shared" si="4"/>
        <v>20702</v>
      </c>
      <c r="Q16" s="315">
        <f>O16*12</f>
        <v>22584</v>
      </c>
      <c r="R16" s="320"/>
    </row>
    <row r="17" spans="2:18" x14ac:dyDescent="0.3">
      <c r="B17" s="296" t="s">
        <v>16</v>
      </c>
      <c r="C17" s="319"/>
      <c r="D17" s="318"/>
      <c r="E17" s="344"/>
      <c r="F17" s="318"/>
      <c r="G17" s="318">
        <v>1569</v>
      </c>
      <c r="H17" s="318">
        <f>G17</f>
        <v>1569</v>
      </c>
      <c r="I17" s="318">
        <f t="shared" ref="I17:O17" si="8">H17</f>
        <v>1569</v>
      </c>
      <c r="J17" s="318">
        <f t="shared" si="8"/>
        <v>1569</v>
      </c>
      <c r="K17" s="318">
        <f t="shared" si="8"/>
        <v>1569</v>
      </c>
      <c r="L17" s="318">
        <f t="shared" si="8"/>
        <v>1569</v>
      </c>
      <c r="M17" s="318">
        <f t="shared" si="8"/>
        <v>1569</v>
      </c>
      <c r="N17" s="318">
        <f t="shared" si="8"/>
        <v>1569</v>
      </c>
      <c r="O17" s="318">
        <f t="shared" si="8"/>
        <v>1569</v>
      </c>
      <c r="P17" s="318">
        <f t="shared" si="4"/>
        <v>14121</v>
      </c>
      <c r="Q17" s="315">
        <f>O17*9</f>
        <v>14121</v>
      </c>
      <c r="R17" s="320"/>
    </row>
    <row r="18" spans="2:18" ht="74.099999999999994" hidden="1" customHeight="1" outlineLevel="1" x14ac:dyDescent="0.3">
      <c r="B18" s="296" t="s">
        <v>17</v>
      </c>
      <c r="C18" s="319"/>
      <c r="D18" s="318"/>
      <c r="E18" s="344"/>
      <c r="F18" s="318"/>
      <c r="G18" s="318"/>
      <c r="H18" s="318"/>
      <c r="I18" s="318"/>
      <c r="J18" s="318"/>
      <c r="K18" s="318"/>
      <c r="L18" s="318"/>
      <c r="M18" s="318"/>
      <c r="N18" s="318"/>
      <c r="O18" s="318"/>
      <c r="P18" s="318">
        <f t="shared" ref="P18:P89" si="9">SUM(D18:O18)</f>
        <v>0</v>
      </c>
      <c r="Q18" s="315"/>
      <c r="R18" s="320"/>
    </row>
    <row r="19" spans="2:18" ht="74.099999999999994" hidden="1" customHeight="1" outlineLevel="1" x14ac:dyDescent="0.3">
      <c r="B19" s="296" t="s">
        <v>18</v>
      </c>
      <c r="C19" s="319"/>
      <c r="D19" s="318"/>
      <c r="E19" s="344"/>
      <c r="F19" s="318"/>
      <c r="G19" s="318"/>
      <c r="H19" s="318"/>
      <c r="I19" s="318"/>
      <c r="J19" s="318"/>
      <c r="K19" s="318"/>
      <c r="L19" s="318"/>
      <c r="M19" s="318"/>
      <c r="N19" s="318"/>
      <c r="O19" s="318"/>
      <c r="P19" s="318">
        <f t="shared" si="9"/>
        <v>0</v>
      </c>
      <c r="Q19" s="315"/>
      <c r="R19" s="320"/>
    </row>
    <row r="20" spans="2:18" ht="74.099999999999994" hidden="1" customHeight="1" outlineLevel="1" x14ac:dyDescent="0.3">
      <c r="B20" s="296" t="s">
        <v>19</v>
      </c>
      <c r="C20" s="319"/>
      <c r="D20" s="318"/>
      <c r="E20" s="344"/>
      <c r="F20" s="318"/>
      <c r="G20" s="318"/>
      <c r="H20" s="318"/>
      <c r="I20" s="318"/>
      <c r="J20" s="318"/>
      <c r="K20" s="318"/>
      <c r="L20" s="318"/>
      <c r="M20" s="318"/>
      <c r="N20" s="318"/>
      <c r="O20" s="318"/>
      <c r="P20" s="318">
        <f t="shared" si="9"/>
        <v>0</v>
      </c>
      <c r="Q20" s="315"/>
      <c r="R20" s="320"/>
    </row>
    <row r="21" spans="2:18" ht="32.25" collapsed="1" x14ac:dyDescent="0.3">
      <c r="B21" s="298" t="s">
        <v>22</v>
      </c>
      <c r="C21" s="314"/>
      <c r="D21" s="314">
        <f>D22+D25+D28+D32</f>
        <v>0</v>
      </c>
      <c r="E21" s="348">
        <f>E22+E25+E28+E32</f>
        <v>0</v>
      </c>
      <c r="F21" s="314">
        <f>F22+F25+F28+F32</f>
        <v>0</v>
      </c>
      <c r="G21" s="314">
        <v>0</v>
      </c>
      <c r="H21" s="314">
        <v>0</v>
      </c>
      <c r="I21" s="314">
        <v>0</v>
      </c>
      <c r="J21" s="314">
        <v>0</v>
      </c>
      <c r="K21" s="314">
        <v>0</v>
      </c>
      <c r="L21" s="314">
        <v>0</v>
      </c>
      <c r="M21" s="314">
        <v>0</v>
      </c>
      <c r="N21" s="314">
        <v>0</v>
      </c>
      <c r="O21" s="314">
        <v>0</v>
      </c>
      <c r="P21" s="353">
        <f t="shared" si="9"/>
        <v>0</v>
      </c>
      <c r="Q21" s="315"/>
      <c r="R21" s="316"/>
    </row>
    <row r="22" spans="2:18" x14ac:dyDescent="0.3">
      <c r="B22" s="299" t="s">
        <v>23</v>
      </c>
      <c r="C22" s="321"/>
      <c r="D22" s="321">
        <f>SUM(D23:D24)</f>
        <v>0</v>
      </c>
      <c r="E22" s="345">
        <f t="shared" ref="E22:O22" si="10">SUM(E23:E24)</f>
        <v>0</v>
      </c>
      <c r="F22" s="321">
        <f t="shared" si="10"/>
        <v>0</v>
      </c>
      <c r="G22" s="321">
        <f t="shared" si="10"/>
        <v>0</v>
      </c>
      <c r="H22" s="321">
        <f t="shared" si="10"/>
        <v>0</v>
      </c>
      <c r="I22" s="321">
        <f t="shared" si="10"/>
        <v>0</v>
      </c>
      <c r="J22" s="321">
        <f t="shared" si="10"/>
        <v>0</v>
      </c>
      <c r="K22" s="321">
        <f t="shared" si="10"/>
        <v>0</v>
      </c>
      <c r="L22" s="321">
        <f t="shared" si="10"/>
        <v>0</v>
      </c>
      <c r="M22" s="321">
        <f t="shared" si="10"/>
        <v>0</v>
      </c>
      <c r="N22" s="321">
        <f t="shared" si="10"/>
        <v>0</v>
      </c>
      <c r="O22" s="321">
        <f t="shared" si="10"/>
        <v>0</v>
      </c>
      <c r="P22" s="318">
        <f t="shared" si="9"/>
        <v>0</v>
      </c>
      <c r="Q22" s="315"/>
      <c r="R22" s="316"/>
    </row>
    <row r="23" spans="2:18" x14ac:dyDescent="0.3">
      <c r="B23" s="296" t="s">
        <v>24</v>
      </c>
      <c r="C23" s="319"/>
      <c r="D23" s="318"/>
      <c r="E23" s="344"/>
      <c r="F23" s="318"/>
      <c r="G23" s="318"/>
      <c r="H23" s="318"/>
      <c r="I23" s="318"/>
      <c r="J23" s="318"/>
      <c r="K23" s="318"/>
      <c r="L23" s="318"/>
      <c r="M23" s="318"/>
      <c r="N23" s="318"/>
      <c r="O23" s="318"/>
      <c r="P23" s="318">
        <f t="shared" si="9"/>
        <v>0</v>
      </c>
      <c r="Q23" s="315"/>
      <c r="R23" s="316"/>
    </row>
    <row r="24" spans="2:18" x14ac:dyDescent="0.3">
      <c r="B24" s="296" t="s">
        <v>25</v>
      </c>
      <c r="C24" s="319"/>
      <c r="D24" s="318"/>
      <c r="E24" s="344"/>
      <c r="F24" s="318"/>
      <c r="G24" s="318"/>
      <c r="H24" s="318"/>
      <c r="I24" s="318"/>
      <c r="J24" s="318"/>
      <c r="K24" s="318"/>
      <c r="L24" s="318"/>
      <c r="M24" s="318"/>
      <c r="N24" s="318"/>
      <c r="O24" s="318"/>
      <c r="P24" s="318">
        <f t="shared" si="9"/>
        <v>0</v>
      </c>
      <c r="Q24" s="315"/>
      <c r="R24" s="320"/>
    </row>
    <row r="25" spans="2:18" ht="24.6" customHeight="1" x14ac:dyDescent="0.3">
      <c r="B25" s="299" t="s">
        <v>26</v>
      </c>
      <c r="C25" s="321"/>
      <c r="D25" s="321">
        <f>SUM(D26:D27)</f>
        <v>0</v>
      </c>
      <c r="E25" s="345">
        <f t="shared" ref="E25:O25" si="11">SUM(E26:E27)</f>
        <v>0</v>
      </c>
      <c r="F25" s="321">
        <f t="shared" si="11"/>
        <v>0</v>
      </c>
      <c r="G25" s="321">
        <f t="shared" si="11"/>
        <v>0</v>
      </c>
      <c r="H25" s="321">
        <f t="shared" si="11"/>
        <v>0</v>
      </c>
      <c r="I25" s="321">
        <f t="shared" si="11"/>
        <v>0</v>
      </c>
      <c r="J25" s="321">
        <f t="shared" si="11"/>
        <v>0</v>
      </c>
      <c r="K25" s="321">
        <f t="shared" si="11"/>
        <v>0</v>
      </c>
      <c r="L25" s="321">
        <f t="shared" si="11"/>
        <v>0</v>
      </c>
      <c r="M25" s="321">
        <f t="shared" si="11"/>
        <v>0</v>
      </c>
      <c r="N25" s="321">
        <f t="shared" si="11"/>
        <v>0</v>
      </c>
      <c r="O25" s="321">
        <f t="shared" si="11"/>
        <v>0</v>
      </c>
      <c r="P25" s="318">
        <f t="shared" si="9"/>
        <v>0</v>
      </c>
      <c r="Q25" s="315"/>
      <c r="R25" s="320"/>
    </row>
    <row r="26" spans="2:18" x14ac:dyDescent="0.3">
      <c r="B26" s="296" t="s">
        <v>27</v>
      </c>
      <c r="C26" s="319"/>
      <c r="D26" s="318"/>
      <c r="E26" s="344"/>
      <c r="F26" s="318"/>
      <c r="G26" s="318"/>
      <c r="H26" s="318"/>
      <c r="I26" s="318"/>
      <c r="J26" s="318"/>
      <c r="K26" s="318"/>
      <c r="L26" s="318"/>
      <c r="M26" s="318"/>
      <c r="N26" s="318"/>
      <c r="O26" s="318"/>
      <c r="P26" s="318">
        <f t="shared" si="9"/>
        <v>0</v>
      </c>
      <c r="Q26" s="315"/>
      <c r="R26" s="320"/>
    </row>
    <row r="27" spans="2:18" x14ac:dyDescent="0.3">
      <c r="B27" s="296" t="s">
        <v>28</v>
      </c>
      <c r="C27" s="319"/>
      <c r="D27" s="318"/>
      <c r="E27" s="344"/>
      <c r="F27" s="318"/>
      <c r="G27" s="318"/>
      <c r="H27" s="318"/>
      <c r="I27" s="318"/>
      <c r="J27" s="318"/>
      <c r="K27" s="318"/>
      <c r="L27" s="318"/>
      <c r="M27" s="318"/>
      <c r="N27" s="318"/>
      <c r="O27" s="318"/>
      <c r="P27" s="318">
        <f t="shared" si="9"/>
        <v>0</v>
      </c>
      <c r="Q27" s="315"/>
      <c r="R27" s="320"/>
    </row>
    <row r="28" spans="2:18" ht="78" customHeight="1" x14ac:dyDescent="0.3">
      <c r="B28" s="299" t="s">
        <v>29</v>
      </c>
      <c r="C28" s="321"/>
      <c r="D28" s="321">
        <f>SUM(D29:D30)</f>
        <v>0</v>
      </c>
      <c r="E28" s="345">
        <f t="shared" ref="E28:F28" si="12">SUM(E29:E30)</f>
        <v>0</v>
      </c>
      <c r="F28" s="321">
        <f t="shared" si="12"/>
        <v>0</v>
      </c>
      <c r="G28" s="321">
        <v>0</v>
      </c>
      <c r="H28" s="321">
        <v>0</v>
      </c>
      <c r="I28" s="321">
        <v>0</v>
      </c>
      <c r="J28" s="321">
        <v>0</v>
      </c>
      <c r="K28" s="321">
        <v>0</v>
      </c>
      <c r="L28" s="321">
        <v>0</v>
      </c>
      <c r="M28" s="321">
        <v>0</v>
      </c>
      <c r="N28" s="321">
        <v>0</v>
      </c>
      <c r="O28" s="321">
        <v>0</v>
      </c>
      <c r="P28" s="318">
        <f t="shared" si="9"/>
        <v>0</v>
      </c>
      <c r="Q28" s="315"/>
      <c r="R28" s="316" t="s">
        <v>471</v>
      </c>
    </row>
    <row r="29" spans="2:18" x14ac:dyDescent="0.3">
      <c r="B29" s="299" t="s">
        <v>280</v>
      </c>
      <c r="C29" s="321"/>
      <c r="D29" s="318"/>
      <c r="E29" s="344"/>
      <c r="F29" s="318"/>
      <c r="G29" s="318">
        <v>0</v>
      </c>
      <c r="H29" s="318">
        <v>0</v>
      </c>
      <c r="I29" s="318">
        <v>0</v>
      </c>
      <c r="J29" s="318">
        <v>0</v>
      </c>
      <c r="K29" s="318">
        <v>0</v>
      </c>
      <c r="L29" s="318">
        <v>0</v>
      </c>
      <c r="M29" s="318">
        <v>0</v>
      </c>
      <c r="N29" s="318">
        <v>0</v>
      </c>
      <c r="O29" s="318">
        <v>0</v>
      </c>
      <c r="P29" s="318">
        <f t="shared" si="9"/>
        <v>0</v>
      </c>
      <c r="Q29" s="315"/>
      <c r="R29" s="320"/>
    </row>
    <row r="30" spans="2:18" x14ac:dyDescent="0.3">
      <c r="B30" s="299" t="s">
        <v>30</v>
      </c>
      <c r="C30" s="321"/>
      <c r="D30" s="318"/>
      <c r="E30" s="344"/>
      <c r="F30" s="318"/>
      <c r="G30" s="318"/>
      <c r="H30" s="318"/>
      <c r="I30" s="318"/>
      <c r="J30" s="318"/>
      <c r="K30" s="318"/>
      <c r="L30" s="318"/>
      <c r="M30" s="318"/>
      <c r="N30" s="318"/>
      <c r="O30" s="318"/>
      <c r="P30" s="318">
        <f t="shared" si="9"/>
        <v>0</v>
      </c>
      <c r="Q30" s="315"/>
      <c r="R30" s="320"/>
    </row>
    <row r="31" spans="2:18" x14ac:dyDescent="0.3">
      <c r="B31" s="300"/>
      <c r="C31" s="323"/>
      <c r="D31" s="323"/>
      <c r="E31" s="349"/>
      <c r="F31" s="323"/>
      <c r="G31" s="323"/>
      <c r="H31" s="323"/>
      <c r="I31" s="323"/>
      <c r="J31" s="323"/>
      <c r="K31" s="323"/>
      <c r="L31" s="323"/>
      <c r="M31" s="323"/>
      <c r="N31" s="323"/>
      <c r="O31" s="323"/>
      <c r="P31" s="318">
        <f t="shared" si="9"/>
        <v>0</v>
      </c>
      <c r="Q31" s="315"/>
      <c r="R31" s="320"/>
    </row>
    <row r="32" spans="2:18" ht="32.25" x14ac:dyDescent="0.3">
      <c r="B32" s="299" t="s">
        <v>31</v>
      </c>
      <c r="C32" s="321"/>
      <c r="D32" s="321">
        <v>0</v>
      </c>
      <c r="E32" s="345">
        <v>0</v>
      </c>
      <c r="F32" s="321">
        <v>0</v>
      </c>
      <c r="G32" s="321">
        <v>0</v>
      </c>
      <c r="H32" s="321">
        <v>0</v>
      </c>
      <c r="I32" s="321">
        <v>0</v>
      </c>
      <c r="J32" s="321">
        <v>0</v>
      </c>
      <c r="K32" s="321">
        <v>0</v>
      </c>
      <c r="L32" s="321">
        <v>0</v>
      </c>
      <c r="M32" s="321">
        <v>0</v>
      </c>
      <c r="N32" s="321">
        <v>0</v>
      </c>
      <c r="O32" s="321"/>
      <c r="P32" s="318"/>
      <c r="Q32" s="315"/>
      <c r="R32" s="320"/>
    </row>
    <row r="33" spans="2:18" x14ac:dyDescent="0.3">
      <c r="B33" s="296"/>
      <c r="C33" s="319"/>
      <c r="D33" s="319"/>
      <c r="E33" s="347"/>
      <c r="F33" s="319"/>
      <c r="G33" s="319"/>
      <c r="H33" s="319"/>
      <c r="I33" s="319"/>
      <c r="J33" s="319"/>
      <c r="K33" s="319"/>
      <c r="L33" s="319"/>
      <c r="M33" s="319"/>
      <c r="N33" s="319"/>
      <c r="O33" s="319"/>
      <c r="P33" s="318">
        <f t="shared" si="9"/>
        <v>0</v>
      </c>
      <c r="Q33" s="315"/>
      <c r="R33" s="320"/>
    </row>
    <row r="34" spans="2:18" ht="48" x14ac:dyDescent="0.3">
      <c r="B34" s="297" t="s">
        <v>32</v>
      </c>
      <c r="C34" s="322"/>
      <c r="D34" s="322">
        <f>SUM(D35:D39)</f>
        <v>0</v>
      </c>
      <c r="E34" s="346">
        <f t="shared" ref="E34:O34" si="13">SUM(E35:E39)</f>
        <v>400</v>
      </c>
      <c r="F34" s="322">
        <f t="shared" si="13"/>
        <v>400</v>
      </c>
      <c r="G34" s="322">
        <f t="shared" si="13"/>
        <v>400</v>
      </c>
      <c r="H34" s="322">
        <f t="shared" si="13"/>
        <v>400</v>
      </c>
      <c r="I34" s="322">
        <f t="shared" si="13"/>
        <v>400</v>
      </c>
      <c r="J34" s="322">
        <f t="shared" si="13"/>
        <v>400</v>
      </c>
      <c r="K34" s="322">
        <f t="shared" si="13"/>
        <v>400</v>
      </c>
      <c r="L34" s="322">
        <f t="shared" si="13"/>
        <v>400</v>
      </c>
      <c r="M34" s="322">
        <f t="shared" si="13"/>
        <v>400</v>
      </c>
      <c r="N34" s="322">
        <f t="shared" si="13"/>
        <v>400</v>
      </c>
      <c r="O34" s="322">
        <f t="shared" si="13"/>
        <v>400</v>
      </c>
      <c r="P34" s="354">
        <f t="shared" si="9"/>
        <v>4400</v>
      </c>
      <c r="Q34" s="315"/>
      <c r="R34" s="316" t="s">
        <v>304</v>
      </c>
    </row>
    <row r="35" spans="2:18" x14ac:dyDescent="0.3">
      <c r="B35" s="300" t="s">
        <v>33</v>
      </c>
      <c r="C35" s="323"/>
      <c r="D35" s="318">
        <v>0</v>
      </c>
      <c r="E35" s="344">
        <v>400</v>
      </c>
      <c r="F35" s="318">
        <f t="shared" ref="F35:O35" si="14">E35</f>
        <v>400</v>
      </c>
      <c r="G35" s="318">
        <f t="shared" si="14"/>
        <v>400</v>
      </c>
      <c r="H35" s="318">
        <f t="shared" si="14"/>
        <v>400</v>
      </c>
      <c r="I35" s="318">
        <f t="shared" si="14"/>
        <v>400</v>
      </c>
      <c r="J35" s="318">
        <f t="shared" si="14"/>
        <v>400</v>
      </c>
      <c r="K35" s="318">
        <f t="shared" si="14"/>
        <v>400</v>
      </c>
      <c r="L35" s="318">
        <f t="shared" si="14"/>
        <v>400</v>
      </c>
      <c r="M35" s="318">
        <f t="shared" si="14"/>
        <v>400</v>
      </c>
      <c r="N35" s="318">
        <f t="shared" si="14"/>
        <v>400</v>
      </c>
      <c r="O35" s="318">
        <f t="shared" si="14"/>
        <v>400</v>
      </c>
      <c r="P35" s="318">
        <f t="shared" si="9"/>
        <v>4400</v>
      </c>
      <c r="Q35" s="315"/>
      <c r="R35" s="320"/>
    </row>
    <row r="36" spans="2:18" ht="18.95" customHeight="1" x14ac:dyDescent="0.3">
      <c r="B36" s="300" t="s">
        <v>34</v>
      </c>
      <c r="C36" s="323"/>
      <c r="D36" s="318">
        <v>0</v>
      </c>
      <c r="E36" s="344"/>
      <c r="F36" s="318"/>
      <c r="G36" s="318"/>
      <c r="H36" s="318"/>
      <c r="I36" s="318"/>
      <c r="J36" s="318"/>
      <c r="K36" s="318"/>
      <c r="L36" s="318"/>
      <c r="M36" s="318"/>
      <c r="N36" s="318"/>
      <c r="O36" s="318"/>
      <c r="P36" s="318">
        <f t="shared" si="9"/>
        <v>0</v>
      </c>
      <c r="Q36" s="315"/>
      <c r="R36" s="316" t="s">
        <v>409</v>
      </c>
    </row>
    <row r="37" spans="2:18" ht="17.45" customHeight="1" x14ac:dyDescent="0.3">
      <c r="B37" s="300" t="s">
        <v>281</v>
      </c>
      <c r="C37" s="323"/>
      <c r="D37" s="318"/>
      <c r="E37" s="344">
        <v>0</v>
      </c>
      <c r="F37" s="318"/>
      <c r="G37" s="318"/>
      <c r="H37" s="318"/>
      <c r="I37" s="318"/>
      <c r="J37" s="318"/>
      <c r="K37" s="318"/>
      <c r="L37" s="318"/>
      <c r="M37" s="318"/>
      <c r="N37" s="318"/>
      <c r="O37" s="318"/>
      <c r="P37" s="318">
        <f>SUM(E37:O37)</f>
        <v>0</v>
      </c>
      <c r="Q37" s="315"/>
      <c r="R37" s="316" t="s">
        <v>410</v>
      </c>
    </row>
    <row r="38" spans="2:18" x14ac:dyDescent="0.3">
      <c r="B38" s="300" t="s">
        <v>439</v>
      </c>
      <c r="C38" s="323"/>
      <c r="D38" s="318">
        <v>0</v>
      </c>
      <c r="E38" s="344"/>
      <c r="F38" s="318"/>
      <c r="G38" s="318"/>
      <c r="H38" s="318"/>
      <c r="I38" s="318"/>
      <c r="J38" s="318"/>
      <c r="K38" s="318"/>
      <c r="L38" s="318"/>
      <c r="M38" s="318"/>
      <c r="N38" s="318"/>
      <c r="O38" s="318"/>
      <c r="P38" s="318">
        <f t="shared" si="9"/>
        <v>0</v>
      </c>
      <c r="Q38" s="315"/>
      <c r="R38" s="320"/>
    </row>
    <row r="39" spans="2:18" x14ac:dyDescent="0.3">
      <c r="B39" s="300" t="s">
        <v>440</v>
      </c>
      <c r="C39" s="323"/>
      <c r="D39" s="318"/>
      <c r="E39" s="344"/>
      <c r="F39" s="318"/>
      <c r="G39" s="318"/>
      <c r="H39" s="318"/>
      <c r="I39" s="318"/>
      <c r="J39" s="318"/>
      <c r="K39" s="318"/>
      <c r="L39" s="318"/>
      <c r="M39" s="318"/>
      <c r="N39" s="318"/>
      <c r="O39" s="318"/>
      <c r="P39" s="318">
        <f t="shared" si="9"/>
        <v>0</v>
      </c>
      <c r="Q39" s="315"/>
      <c r="R39" s="320"/>
    </row>
    <row r="40" spans="2:18" ht="63" customHeight="1" x14ac:dyDescent="0.3">
      <c r="B40" s="297" t="s">
        <v>35</v>
      </c>
      <c r="C40" s="322"/>
      <c r="D40" s="322">
        <f>SUM(D41:D65)</f>
        <v>0</v>
      </c>
      <c r="E40" s="346">
        <f>SUM(E41:E65)</f>
        <v>55606</v>
      </c>
      <c r="F40" s="322">
        <f t="shared" ref="F40:O40" si="15">SUM(F41:F54)</f>
        <v>0</v>
      </c>
      <c r="G40" s="324">
        <f t="shared" si="15"/>
        <v>0</v>
      </c>
      <c r="H40" s="324">
        <f t="shared" si="15"/>
        <v>0</v>
      </c>
      <c r="I40" s="324">
        <f t="shared" si="15"/>
        <v>0</v>
      </c>
      <c r="J40" s="324">
        <f t="shared" si="15"/>
        <v>0</v>
      </c>
      <c r="K40" s="324">
        <f t="shared" si="15"/>
        <v>0</v>
      </c>
      <c r="L40" s="324">
        <f t="shared" si="15"/>
        <v>0</v>
      </c>
      <c r="M40" s="324">
        <f t="shared" si="15"/>
        <v>0</v>
      </c>
      <c r="N40" s="324">
        <f t="shared" si="15"/>
        <v>0</v>
      </c>
      <c r="O40" s="324">
        <f t="shared" si="15"/>
        <v>0</v>
      </c>
      <c r="P40" s="354">
        <f t="shared" si="9"/>
        <v>55606</v>
      </c>
      <c r="Q40" s="315"/>
      <c r="R40" s="316" t="s">
        <v>305</v>
      </c>
    </row>
    <row r="41" spans="2:18" ht="32.25" x14ac:dyDescent="0.3">
      <c r="B41" s="301" t="s">
        <v>447</v>
      </c>
      <c r="C41" s="325"/>
      <c r="D41" s="326">
        <v>0</v>
      </c>
      <c r="E41" s="327">
        <v>16000</v>
      </c>
      <c r="F41" s="318"/>
      <c r="G41" s="318"/>
      <c r="H41" s="318"/>
      <c r="I41" s="318"/>
      <c r="J41" s="318"/>
      <c r="K41" s="318"/>
      <c r="L41" s="318"/>
      <c r="M41" s="318"/>
      <c r="N41" s="318"/>
      <c r="O41" s="318"/>
      <c r="P41" s="318">
        <f t="shared" si="9"/>
        <v>16000</v>
      </c>
      <c r="Q41" s="315"/>
      <c r="R41" s="316" t="s">
        <v>306</v>
      </c>
    </row>
    <row r="42" spans="2:18" x14ac:dyDescent="0.3">
      <c r="B42" s="301" t="s">
        <v>469</v>
      </c>
      <c r="C42" s="325"/>
      <c r="D42" s="326">
        <v>0</v>
      </c>
      <c r="E42" s="327">
        <v>5069</v>
      </c>
      <c r="F42" s="318"/>
      <c r="G42" s="318"/>
      <c r="H42" s="318"/>
      <c r="I42" s="318"/>
      <c r="J42" s="318"/>
      <c r="K42" s="318"/>
      <c r="L42" s="318"/>
      <c r="M42" s="318"/>
      <c r="N42" s="318"/>
      <c r="O42" s="318"/>
      <c r="P42" s="318">
        <f t="shared" si="9"/>
        <v>5069</v>
      </c>
      <c r="Q42" s="315"/>
      <c r="R42" s="316"/>
    </row>
    <row r="43" spans="2:18" x14ac:dyDescent="0.3">
      <c r="B43" s="301" t="s">
        <v>450</v>
      </c>
      <c r="C43" s="325"/>
      <c r="D43" s="326">
        <v>0</v>
      </c>
      <c r="E43" s="327">
        <v>3162</v>
      </c>
      <c r="F43" s="318"/>
      <c r="G43" s="318"/>
      <c r="H43" s="318"/>
      <c r="I43" s="318"/>
      <c r="J43" s="318"/>
      <c r="K43" s="318"/>
      <c r="L43" s="318"/>
      <c r="M43" s="318"/>
      <c r="N43" s="318"/>
      <c r="O43" s="318"/>
      <c r="P43" s="318">
        <f t="shared" si="9"/>
        <v>3162</v>
      </c>
      <c r="Q43" s="315"/>
      <c r="R43" s="316"/>
    </row>
    <row r="44" spans="2:18" x14ac:dyDescent="0.3">
      <c r="B44" s="301" t="s">
        <v>452</v>
      </c>
      <c r="C44" s="325"/>
      <c r="D44" s="326">
        <v>0</v>
      </c>
      <c r="E44" s="328">
        <v>2900</v>
      </c>
      <c r="F44" s="318"/>
      <c r="G44" s="318"/>
      <c r="H44" s="318"/>
      <c r="I44" s="318"/>
      <c r="J44" s="318"/>
      <c r="K44" s="318"/>
      <c r="L44" s="318"/>
      <c r="M44" s="318"/>
      <c r="N44" s="318"/>
      <c r="O44" s="318"/>
      <c r="P44" s="318">
        <f t="shared" si="9"/>
        <v>2900</v>
      </c>
      <c r="Q44" s="315"/>
      <c r="R44" s="316"/>
    </row>
    <row r="45" spans="2:18" x14ac:dyDescent="0.3">
      <c r="B45" s="301" t="s">
        <v>466</v>
      </c>
      <c r="C45" s="325"/>
      <c r="D45" s="326">
        <v>0</v>
      </c>
      <c r="E45" s="327">
        <v>4800</v>
      </c>
      <c r="F45" s="318"/>
      <c r="G45" s="318"/>
      <c r="H45" s="318"/>
      <c r="I45" s="318"/>
      <c r="J45" s="318"/>
      <c r="K45" s="318"/>
      <c r="L45" s="318"/>
      <c r="M45" s="318"/>
      <c r="N45" s="318"/>
      <c r="O45" s="318"/>
      <c r="P45" s="318">
        <f t="shared" si="9"/>
        <v>4800</v>
      </c>
      <c r="Q45" s="315"/>
      <c r="R45" s="316"/>
    </row>
    <row r="46" spans="2:18" x14ac:dyDescent="0.3">
      <c r="B46" s="301" t="s">
        <v>465</v>
      </c>
      <c r="C46" s="325"/>
      <c r="D46" s="326">
        <v>0</v>
      </c>
      <c r="E46" s="327">
        <v>3200</v>
      </c>
      <c r="F46" s="318"/>
      <c r="G46" s="318"/>
      <c r="H46" s="318"/>
      <c r="I46" s="318"/>
      <c r="J46" s="318"/>
      <c r="K46" s="318"/>
      <c r="L46" s="318"/>
      <c r="M46" s="318"/>
      <c r="N46" s="318"/>
      <c r="O46" s="318"/>
      <c r="P46" s="318">
        <f t="shared" si="9"/>
        <v>3200</v>
      </c>
      <c r="Q46" s="315"/>
      <c r="R46" s="316"/>
    </row>
    <row r="47" spans="2:18" x14ac:dyDescent="0.3">
      <c r="B47" s="302" t="s">
        <v>464</v>
      </c>
      <c r="C47" s="329"/>
      <c r="D47" s="326">
        <v>0</v>
      </c>
      <c r="E47" s="327">
        <v>2500</v>
      </c>
      <c r="F47" s="318"/>
      <c r="G47" s="318"/>
      <c r="H47" s="318"/>
      <c r="I47" s="318"/>
      <c r="J47" s="318"/>
      <c r="K47" s="318"/>
      <c r="L47" s="318"/>
      <c r="M47" s="318"/>
      <c r="N47" s="318"/>
      <c r="O47" s="318"/>
      <c r="P47" s="318">
        <f t="shared" si="9"/>
        <v>2500</v>
      </c>
      <c r="Q47" s="315"/>
      <c r="R47" s="316"/>
    </row>
    <row r="48" spans="2:18" x14ac:dyDescent="0.3">
      <c r="B48" s="300" t="s">
        <v>439</v>
      </c>
      <c r="C48" s="323"/>
      <c r="D48" s="318">
        <v>0</v>
      </c>
      <c r="E48" s="344">
        <v>2000</v>
      </c>
      <c r="F48" s="318"/>
      <c r="G48" s="318"/>
      <c r="H48" s="318"/>
      <c r="I48" s="318"/>
      <c r="J48" s="318"/>
      <c r="K48" s="318"/>
      <c r="L48" s="318"/>
      <c r="M48" s="318"/>
      <c r="N48" s="318"/>
      <c r="O48" s="318"/>
      <c r="P48" s="318">
        <f t="shared" si="9"/>
        <v>2000</v>
      </c>
      <c r="Q48" s="315"/>
      <c r="R48" s="316"/>
    </row>
    <row r="49" spans="2:18" x14ac:dyDescent="0.3">
      <c r="B49" s="300" t="s">
        <v>440</v>
      </c>
      <c r="C49" s="323"/>
      <c r="D49" s="318"/>
      <c r="E49" s="344">
        <v>4045</v>
      </c>
      <c r="F49" s="318"/>
      <c r="G49" s="318"/>
      <c r="H49" s="318"/>
      <c r="I49" s="318"/>
      <c r="J49" s="318"/>
      <c r="K49" s="318"/>
      <c r="L49" s="318"/>
      <c r="M49" s="318"/>
      <c r="N49" s="318"/>
      <c r="O49" s="318"/>
      <c r="P49" s="318">
        <f t="shared" si="9"/>
        <v>4045</v>
      </c>
      <c r="Q49" s="315"/>
      <c r="R49" s="316"/>
    </row>
    <row r="50" spans="2:18" ht="18" customHeight="1" x14ac:dyDescent="0.3">
      <c r="B50" s="301" t="s">
        <v>448</v>
      </c>
      <c r="C50" s="325"/>
      <c r="D50" s="326">
        <v>0</v>
      </c>
      <c r="E50" s="327">
        <v>1834</v>
      </c>
      <c r="F50" s="318"/>
      <c r="G50" s="318"/>
      <c r="H50" s="318"/>
      <c r="I50" s="318"/>
      <c r="J50" s="318"/>
      <c r="K50" s="318"/>
      <c r="L50" s="318"/>
      <c r="M50" s="318"/>
      <c r="N50" s="318"/>
      <c r="O50" s="318"/>
      <c r="P50" s="318">
        <f t="shared" si="9"/>
        <v>1834</v>
      </c>
      <c r="Q50" s="315"/>
      <c r="R50" s="316" t="s">
        <v>411</v>
      </c>
    </row>
    <row r="51" spans="2:18" ht="18.600000000000001" customHeight="1" x14ac:dyDescent="0.3">
      <c r="B51" s="301" t="s">
        <v>467</v>
      </c>
      <c r="C51" s="325"/>
      <c r="D51" s="326">
        <v>0</v>
      </c>
      <c r="E51" s="327">
        <v>1000</v>
      </c>
      <c r="F51" s="318"/>
      <c r="G51" s="318"/>
      <c r="H51" s="318"/>
      <c r="I51" s="318"/>
      <c r="J51" s="318"/>
      <c r="K51" s="318"/>
      <c r="L51" s="318"/>
      <c r="M51" s="318"/>
      <c r="N51" s="318"/>
      <c r="O51" s="318"/>
      <c r="P51" s="318">
        <f t="shared" si="9"/>
        <v>1000</v>
      </c>
      <c r="Q51" s="315"/>
      <c r="R51" s="330" t="s">
        <v>413</v>
      </c>
    </row>
    <row r="52" spans="2:18" x14ac:dyDescent="0.3">
      <c r="B52" s="301" t="s">
        <v>449</v>
      </c>
      <c r="C52" s="325"/>
      <c r="D52" s="326">
        <v>0</v>
      </c>
      <c r="E52" s="327">
        <v>1585</v>
      </c>
      <c r="F52" s="318"/>
      <c r="G52" s="318"/>
      <c r="H52" s="318"/>
      <c r="I52" s="318"/>
      <c r="J52" s="318"/>
      <c r="K52" s="318"/>
      <c r="L52" s="318"/>
      <c r="M52" s="318"/>
      <c r="N52" s="318"/>
      <c r="O52" s="318"/>
      <c r="P52" s="318">
        <f t="shared" si="9"/>
        <v>1585</v>
      </c>
      <c r="Q52" s="315"/>
      <c r="R52" s="330"/>
    </row>
    <row r="53" spans="2:18" ht="32.25" x14ac:dyDescent="0.3">
      <c r="B53" s="301" t="s">
        <v>470</v>
      </c>
      <c r="C53" s="325"/>
      <c r="D53" s="326">
        <v>0</v>
      </c>
      <c r="E53" s="327">
        <v>500</v>
      </c>
      <c r="F53" s="318"/>
      <c r="G53" s="318"/>
      <c r="H53" s="318"/>
      <c r="I53" s="318"/>
      <c r="J53" s="318"/>
      <c r="K53" s="318"/>
      <c r="L53" s="318"/>
      <c r="M53" s="318"/>
      <c r="N53" s="318"/>
      <c r="O53" s="318"/>
      <c r="P53" s="318">
        <f t="shared" si="9"/>
        <v>500</v>
      </c>
      <c r="Q53" s="315"/>
      <c r="R53" s="330"/>
    </row>
    <row r="54" spans="2:18" x14ac:dyDescent="0.3">
      <c r="B54" s="301" t="s">
        <v>451</v>
      </c>
      <c r="C54" s="325"/>
      <c r="D54" s="326">
        <v>0</v>
      </c>
      <c r="E54" s="328">
        <v>530</v>
      </c>
      <c r="F54" s="318"/>
      <c r="G54" s="331">
        <v>0</v>
      </c>
      <c r="H54" s="331">
        <f>G54</f>
        <v>0</v>
      </c>
      <c r="I54" s="331">
        <f>H54</f>
        <v>0</v>
      </c>
      <c r="J54" s="331">
        <v>0</v>
      </c>
      <c r="K54" s="331">
        <f>J54</f>
        <v>0</v>
      </c>
      <c r="L54" s="331">
        <f>K54</f>
        <v>0</v>
      </c>
      <c r="M54" s="331">
        <v>0</v>
      </c>
      <c r="N54" s="331">
        <f>M54</f>
        <v>0</v>
      </c>
      <c r="O54" s="331">
        <f>N54</f>
        <v>0</v>
      </c>
      <c r="P54" s="318">
        <f t="shared" si="9"/>
        <v>530</v>
      </c>
      <c r="Q54" s="315"/>
      <c r="R54" s="320"/>
    </row>
    <row r="55" spans="2:18" x14ac:dyDescent="0.3">
      <c r="B55" s="301" t="s">
        <v>453</v>
      </c>
      <c r="C55" s="325"/>
      <c r="D55" s="326">
        <v>0</v>
      </c>
      <c r="E55" s="327">
        <v>950</v>
      </c>
      <c r="F55" s="318"/>
      <c r="G55" s="318"/>
      <c r="H55" s="318"/>
      <c r="I55" s="318"/>
      <c r="J55" s="318"/>
      <c r="K55" s="318"/>
      <c r="L55" s="318"/>
      <c r="M55" s="318"/>
      <c r="N55" s="318"/>
      <c r="O55" s="318"/>
      <c r="P55" s="318">
        <f t="shared" si="9"/>
        <v>950</v>
      </c>
      <c r="Q55" s="315"/>
      <c r="R55" s="320"/>
    </row>
    <row r="56" spans="2:18" x14ac:dyDescent="0.3">
      <c r="B56" s="301" t="s">
        <v>454</v>
      </c>
      <c r="C56" s="325"/>
      <c r="D56" s="326">
        <v>0</v>
      </c>
      <c r="E56" s="327">
        <v>1020</v>
      </c>
      <c r="F56" s="318"/>
      <c r="G56" s="318"/>
      <c r="H56" s="318"/>
      <c r="I56" s="318"/>
      <c r="J56" s="318"/>
      <c r="K56" s="318"/>
      <c r="L56" s="318"/>
      <c r="M56" s="318"/>
      <c r="N56" s="318"/>
      <c r="O56" s="318"/>
      <c r="P56" s="318">
        <f t="shared" si="9"/>
        <v>1020</v>
      </c>
      <c r="Q56" s="315"/>
      <c r="R56" s="320"/>
    </row>
    <row r="57" spans="2:18" x14ac:dyDescent="0.3">
      <c r="B57" s="301" t="s">
        <v>455</v>
      </c>
      <c r="C57" s="325"/>
      <c r="D57" s="326">
        <v>0</v>
      </c>
      <c r="E57" s="327">
        <v>1570</v>
      </c>
      <c r="F57" s="318"/>
      <c r="G57" s="318"/>
      <c r="H57" s="318"/>
      <c r="I57" s="318"/>
      <c r="J57" s="318"/>
      <c r="K57" s="318"/>
      <c r="L57" s="318"/>
      <c r="M57" s="318"/>
      <c r="N57" s="318"/>
      <c r="O57" s="318"/>
      <c r="P57" s="318">
        <f t="shared" si="9"/>
        <v>1570</v>
      </c>
      <c r="Q57" s="315"/>
      <c r="R57" s="320"/>
    </row>
    <row r="58" spans="2:18" x14ac:dyDescent="0.3">
      <c r="B58" s="301" t="s">
        <v>456</v>
      </c>
      <c r="C58" s="325"/>
      <c r="D58" s="326">
        <v>0</v>
      </c>
      <c r="E58" s="327">
        <v>480</v>
      </c>
      <c r="F58" s="318"/>
      <c r="G58" s="318"/>
      <c r="H58" s="318"/>
      <c r="I58" s="318"/>
      <c r="J58" s="318"/>
      <c r="K58" s="318"/>
      <c r="L58" s="318"/>
      <c r="M58" s="318"/>
      <c r="N58" s="318"/>
      <c r="O58" s="318"/>
      <c r="P58" s="318">
        <f t="shared" si="9"/>
        <v>480</v>
      </c>
      <c r="Q58" s="315"/>
      <c r="R58" s="320"/>
    </row>
    <row r="59" spans="2:18" x14ac:dyDescent="0.3">
      <c r="B59" s="301" t="s">
        <v>457</v>
      </c>
      <c r="C59" s="325"/>
      <c r="D59" s="326">
        <v>0</v>
      </c>
      <c r="E59" s="327">
        <v>350</v>
      </c>
      <c r="F59" s="318"/>
      <c r="G59" s="318"/>
      <c r="H59" s="318"/>
      <c r="I59" s="318"/>
      <c r="J59" s="318"/>
      <c r="K59" s="318"/>
      <c r="L59" s="318"/>
      <c r="M59" s="318"/>
      <c r="N59" s="318"/>
      <c r="O59" s="318"/>
      <c r="P59" s="318">
        <f t="shared" si="9"/>
        <v>350</v>
      </c>
      <c r="Q59" s="315"/>
      <c r="R59" s="320"/>
    </row>
    <row r="60" spans="2:18" x14ac:dyDescent="0.3">
      <c r="B60" s="301" t="s">
        <v>458</v>
      </c>
      <c r="C60" s="325"/>
      <c r="D60" s="326">
        <v>0</v>
      </c>
      <c r="E60" s="327">
        <v>310</v>
      </c>
      <c r="F60" s="318"/>
      <c r="G60" s="318"/>
      <c r="H60" s="318"/>
      <c r="I60" s="318"/>
      <c r="J60" s="318"/>
      <c r="K60" s="318"/>
      <c r="L60" s="318"/>
      <c r="M60" s="318"/>
      <c r="N60" s="318"/>
      <c r="O60" s="318"/>
      <c r="P60" s="318">
        <f t="shared" si="9"/>
        <v>310</v>
      </c>
      <c r="Q60" s="315"/>
      <c r="R60" s="320"/>
    </row>
    <row r="61" spans="2:18" x14ac:dyDescent="0.3">
      <c r="B61" s="301" t="s">
        <v>459</v>
      </c>
      <c r="C61" s="325"/>
      <c r="D61" s="326">
        <v>0</v>
      </c>
      <c r="E61" s="327">
        <v>650</v>
      </c>
      <c r="F61" s="318"/>
      <c r="G61" s="318"/>
      <c r="H61" s="318"/>
      <c r="I61" s="318"/>
      <c r="J61" s="318"/>
      <c r="K61" s="318"/>
      <c r="L61" s="318"/>
      <c r="M61" s="318"/>
      <c r="N61" s="318"/>
      <c r="O61" s="318"/>
      <c r="P61" s="318">
        <f t="shared" si="9"/>
        <v>650</v>
      </c>
      <c r="Q61" s="315"/>
      <c r="R61" s="320"/>
    </row>
    <row r="62" spans="2:18" x14ac:dyDescent="0.3">
      <c r="B62" s="301" t="s">
        <v>460</v>
      </c>
      <c r="C62" s="325"/>
      <c r="D62" s="326">
        <v>0</v>
      </c>
      <c r="E62" s="327">
        <v>226</v>
      </c>
      <c r="F62" s="318"/>
      <c r="G62" s="318"/>
      <c r="H62" s="318"/>
      <c r="I62" s="318"/>
      <c r="J62" s="318"/>
      <c r="K62" s="318"/>
      <c r="L62" s="318"/>
      <c r="M62" s="318"/>
      <c r="N62" s="318"/>
      <c r="O62" s="318"/>
      <c r="P62" s="318">
        <f t="shared" si="9"/>
        <v>226</v>
      </c>
      <c r="Q62" s="315"/>
      <c r="R62" s="320"/>
    </row>
    <row r="63" spans="2:18" x14ac:dyDescent="0.3">
      <c r="B63" s="301" t="s">
        <v>461</v>
      </c>
      <c r="C63" s="325"/>
      <c r="D63" s="326">
        <v>0</v>
      </c>
      <c r="E63" s="327">
        <v>465</v>
      </c>
      <c r="F63" s="318"/>
      <c r="G63" s="318"/>
      <c r="H63" s="318"/>
      <c r="I63" s="318"/>
      <c r="J63" s="318"/>
      <c r="K63" s="318"/>
      <c r="L63" s="318"/>
      <c r="M63" s="318"/>
      <c r="N63" s="318"/>
      <c r="O63" s="318"/>
      <c r="P63" s="318">
        <f t="shared" si="9"/>
        <v>465</v>
      </c>
      <c r="Q63" s="315"/>
      <c r="R63" s="320"/>
    </row>
    <row r="64" spans="2:18" x14ac:dyDescent="0.3">
      <c r="B64" s="301" t="s">
        <v>462</v>
      </c>
      <c r="C64" s="325"/>
      <c r="D64" s="326">
        <v>0</v>
      </c>
      <c r="E64" s="327">
        <v>250</v>
      </c>
      <c r="F64" s="318"/>
      <c r="G64" s="318"/>
      <c r="H64" s="318"/>
      <c r="I64" s="318"/>
      <c r="J64" s="318"/>
      <c r="K64" s="318"/>
      <c r="L64" s="318"/>
      <c r="M64" s="318"/>
      <c r="N64" s="318"/>
      <c r="O64" s="318"/>
      <c r="P64" s="318">
        <f t="shared" si="9"/>
        <v>250</v>
      </c>
      <c r="Q64" s="315"/>
      <c r="R64" s="320"/>
    </row>
    <row r="65" spans="2:18" x14ac:dyDescent="0.3">
      <c r="B65" s="301" t="s">
        <v>463</v>
      </c>
      <c r="C65" s="325"/>
      <c r="D65" s="326">
        <v>0</v>
      </c>
      <c r="E65" s="327">
        <v>210</v>
      </c>
      <c r="F65" s="318"/>
      <c r="G65" s="318"/>
      <c r="H65" s="318"/>
      <c r="I65" s="318"/>
      <c r="J65" s="318"/>
      <c r="K65" s="318"/>
      <c r="L65" s="318"/>
      <c r="M65" s="318"/>
      <c r="N65" s="318"/>
      <c r="O65" s="318"/>
      <c r="P65" s="318">
        <f t="shared" si="9"/>
        <v>210</v>
      </c>
      <c r="Q65" s="315"/>
      <c r="R65" s="320"/>
    </row>
    <row r="66" spans="2:18" ht="51.6" customHeight="1" x14ac:dyDescent="0.3">
      <c r="B66" s="297" t="s">
        <v>36</v>
      </c>
      <c r="C66" s="322"/>
      <c r="D66" s="322">
        <f>SUM(D67:D71)</f>
        <v>2300</v>
      </c>
      <c r="E66" s="346">
        <f t="shared" ref="E66:O66" si="16">SUM(E67:E71)</f>
        <v>2300</v>
      </c>
      <c r="F66" s="322">
        <f t="shared" si="16"/>
        <v>2300</v>
      </c>
      <c r="G66" s="322">
        <f t="shared" si="16"/>
        <v>2300</v>
      </c>
      <c r="H66" s="322">
        <f t="shared" si="16"/>
        <v>2300</v>
      </c>
      <c r="I66" s="322">
        <f t="shared" si="16"/>
        <v>2300</v>
      </c>
      <c r="J66" s="322">
        <f t="shared" si="16"/>
        <v>2300</v>
      </c>
      <c r="K66" s="322">
        <f t="shared" si="16"/>
        <v>2300</v>
      </c>
      <c r="L66" s="322">
        <f t="shared" si="16"/>
        <v>2300</v>
      </c>
      <c r="M66" s="322">
        <f t="shared" si="16"/>
        <v>2300</v>
      </c>
      <c r="N66" s="322">
        <f t="shared" si="16"/>
        <v>2300</v>
      </c>
      <c r="O66" s="322">
        <f t="shared" si="16"/>
        <v>2300</v>
      </c>
      <c r="P66" s="354">
        <f t="shared" si="9"/>
        <v>27600</v>
      </c>
      <c r="Q66" s="315"/>
      <c r="R66" s="316" t="s">
        <v>412</v>
      </c>
    </row>
    <row r="67" spans="2:18" ht="21.95" customHeight="1" x14ac:dyDescent="0.3">
      <c r="B67" s="300" t="s">
        <v>37</v>
      </c>
      <c r="C67" s="323"/>
      <c r="D67" s="318">
        <v>2300</v>
      </c>
      <c r="E67" s="344">
        <v>2300</v>
      </c>
      <c r="F67" s="318">
        <v>2300</v>
      </c>
      <c r="G67" s="318">
        <v>2300</v>
      </c>
      <c r="H67" s="318">
        <v>2300</v>
      </c>
      <c r="I67" s="318">
        <v>2300</v>
      </c>
      <c r="J67" s="318">
        <v>2300</v>
      </c>
      <c r="K67" s="318">
        <v>2300</v>
      </c>
      <c r="L67" s="318">
        <v>2300</v>
      </c>
      <c r="M67" s="318">
        <v>2300</v>
      </c>
      <c r="N67" s="318">
        <v>2300</v>
      </c>
      <c r="O67" s="318">
        <v>2300</v>
      </c>
      <c r="P67" s="318">
        <f t="shared" si="9"/>
        <v>27600</v>
      </c>
      <c r="Q67" s="315"/>
      <c r="R67" s="316" t="s">
        <v>307</v>
      </c>
    </row>
    <row r="68" spans="2:18" x14ac:dyDescent="0.3">
      <c r="B68" s="300" t="s">
        <v>38</v>
      </c>
      <c r="C68" s="323"/>
      <c r="D68" s="318"/>
      <c r="E68" s="344"/>
      <c r="F68" s="318"/>
      <c r="G68" s="318"/>
      <c r="H68" s="318"/>
      <c r="I68" s="318"/>
      <c r="J68" s="318"/>
      <c r="K68" s="318"/>
      <c r="L68" s="318"/>
      <c r="M68" s="318"/>
      <c r="N68" s="318"/>
      <c r="O68" s="318"/>
      <c r="P68" s="318">
        <f t="shared" si="9"/>
        <v>0</v>
      </c>
      <c r="Q68" s="315"/>
      <c r="R68" s="320"/>
    </row>
    <row r="69" spans="2:18" x14ac:dyDescent="0.3">
      <c r="B69" s="300" t="s">
        <v>39</v>
      </c>
      <c r="C69" s="323"/>
      <c r="D69" s="318"/>
      <c r="E69" s="344"/>
      <c r="F69" s="318"/>
      <c r="G69" s="318"/>
      <c r="H69" s="318"/>
      <c r="I69" s="318"/>
      <c r="J69" s="318"/>
      <c r="K69" s="318"/>
      <c r="L69" s="318"/>
      <c r="M69" s="318"/>
      <c r="N69" s="318"/>
      <c r="O69" s="318"/>
      <c r="P69" s="318">
        <f t="shared" si="9"/>
        <v>0</v>
      </c>
      <c r="Q69" s="315"/>
      <c r="R69" s="320"/>
    </row>
    <row r="70" spans="2:18" x14ac:dyDescent="0.3">
      <c r="B70" s="300" t="s">
        <v>40</v>
      </c>
      <c r="C70" s="323"/>
      <c r="D70" s="318"/>
      <c r="E70" s="344"/>
      <c r="F70" s="318"/>
      <c r="G70" s="318"/>
      <c r="H70" s="318"/>
      <c r="I70" s="318"/>
      <c r="J70" s="318"/>
      <c r="K70" s="318"/>
      <c r="L70" s="318"/>
      <c r="M70" s="318"/>
      <c r="N70" s="318"/>
      <c r="O70" s="318"/>
      <c r="P70" s="318">
        <f t="shared" si="9"/>
        <v>0</v>
      </c>
      <c r="Q70" s="315"/>
      <c r="R70" s="320"/>
    </row>
    <row r="71" spans="2:18" x14ac:dyDescent="0.3">
      <c r="B71" s="300" t="s">
        <v>41</v>
      </c>
      <c r="C71" s="323"/>
      <c r="D71" s="318"/>
      <c r="E71" s="344"/>
      <c r="F71" s="318"/>
      <c r="G71" s="318"/>
      <c r="H71" s="318"/>
      <c r="I71" s="318"/>
      <c r="J71" s="318"/>
      <c r="K71" s="318"/>
      <c r="L71" s="318"/>
      <c r="M71" s="318"/>
      <c r="N71" s="318"/>
      <c r="O71" s="318"/>
      <c r="P71" s="318">
        <f t="shared" si="9"/>
        <v>0</v>
      </c>
      <c r="Q71" s="315"/>
      <c r="R71" s="320"/>
    </row>
    <row r="72" spans="2:18" ht="79.5" x14ac:dyDescent="0.3">
      <c r="B72" s="297" t="s">
        <v>42</v>
      </c>
      <c r="C72" s="323"/>
      <c r="D72" s="322">
        <f>SUM(D73:D76)</f>
        <v>0</v>
      </c>
      <c r="E72" s="346">
        <f t="shared" ref="E72:O72" si="17">SUM(E73:E76)</f>
        <v>0</v>
      </c>
      <c r="F72" s="322">
        <f t="shared" si="17"/>
        <v>0</v>
      </c>
      <c r="G72" s="322">
        <f t="shared" si="17"/>
        <v>0</v>
      </c>
      <c r="H72" s="322">
        <f t="shared" si="17"/>
        <v>0</v>
      </c>
      <c r="I72" s="322">
        <f t="shared" si="17"/>
        <v>0</v>
      </c>
      <c r="J72" s="322">
        <f t="shared" si="17"/>
        <v>0</v>
      </c>
      <c r="K72" s="322">
        <f t="shared" si="17"/>
        <v>0</v>
      </c>
      <c r="L72" s="322">
        <f t="shared" si="17"/>
        <v>0</v>
      </c>
      <c r="M72" s="322">
        <f t="shared" si="17"/>
        <v>0</v>
      </c>
      <c r="N72" s="322">
        <f t="shared" si="17"/>
        <v>0</v>
      </c>
      <c r="O72" s="322">
        <f t="shared" si="17"/>
        <v>0</v>
      </c>
      <c r="P72" s="354">
        <f t="shared" si="9"/>
        <v>0</v>
      </c>
      <c r="Q72" s="315"/>
      <c r="R72" s="320"/>
    </row>
    <row r="73" spans="2:18" x14ac:dyDescent="0.3">
      <c r="B73" s="300" t="s">
        <v>43</v>
      </c>
      <c r="C73" s="323"/>
      <c r="D73" s="318"/>
      <c r="E73" s="344"/>
      <c r="F73" s="318"/>
      <c r="G73" s="318"/>
      <c r="H73" s="318"/>
      <c r="I73" s="318"/>
      <c r="J73" s="318"/>
      <c r="K73" s="318"/>
      <c r="L73" s="318"/>
      <c r="M73" s="318"/>
      <c r="N73" s="318"/>
      <c r="O73" s="318"/>
      <c r="P73" s="318">
        <f t="shared" si="9"/>
        <v>0</v>
      </c>
      <c r="Q73" s="315"/>
      <c r="R73" s="320"/>
    </row>
    <row r="74" spans="2:18" x14ac:dyDescent="0.3">
      <c r="B74" s="300" t="s">
        <v>44</v>
      </c>
      <c r="C74" s="323"/>
      <c r="D74" s="318"/>
      <c r="E74" s="344"/>
      <c r="F74" s="318"/>
      <c r="G74" s="318"/>
      <c r="H74" s="318"/>
      <c r="I74" s="318"/>
      <c r="J74" s="318"/>
      <c r="K74" s="318"/>
      <c r="L74" s="318"/>
      <c r="M74" s="318"/>
      <c r="N74" s="318"/>
      <c r="O74" s="318"/>
      <c r="P74" s="318">
        <f t="shared" si="9"/>
        <v>0</v>
      </c>
      <c r="Q74" s="315"/>
      <c r="R74" s="320"/>
    </row>
    <row r="75" spans="2:18" x14ac:dyDescent="0.3">
      <c r="B75" s="300" t="s">
        <v>276</v>
      </c>
      <c r="C75" s="323"/>
      <c r="D75" s="318"/>
      <c r="E75" s="344"/>
      <c r="F75" s="318"/>
      <c r="G75" s="318"/>
      <c r="H75" s="318"/>
      <c r="I75" s="318"/>
      <c r="J75" s="318"/>
      <c r="K75" s="318"/>
      <c r="L75" s="318"/>
      <c r="M75" s="318"/>
      <c r="N75" s="318"/>
      <c r="O75" s="318"/>
      <c r="P75" s="318">
        <f t="shared" si="9"/>
        <v>0</v>
      </c>
      <c r="Q75" s="315"/>
      <c r="R75" s="320"/>
    </row>
    <row r="76" spans="2:18" x14ac:dyDescent="0.3">
      <c r="B76" s="300" t="s">
        <v>45</v>
      </c>
      <c r="C76" s="323"/>
      <c r="D76" s="318"/>
      <c r="E76" s="344"/>
      <c r="F76" s="318"/>
      <c r="G76" s="318"/>
      <c r="H76" s="318"/>
      <c r="I76" s="318"/>
      <c r="J76" s="318"/>
      <c r="K76" s="318"/>
      <c r="L76" s="318"/>
      <c r="M76" s="318"/>
      <c r="N76" s="318"/>
      <c r="O76" s="318"/>
      <c r="P76" s="318">
        <f t="shared" si="9"/>
        <v>0</v>
      </c>
      <c r="Q76" s="315"/>
      <c r="R76" s="320"/>
    </row>
    <row r="77" spans="2:18" ht="22.5" customHeight="1" x14ac:dyDescent="0.3">
      <c r="B77" s="297" t="s">
        <v>46</v>
      </c>
      <c r="C77" s="323"/>
      <c r="D77" s="322">
        <f>SUM(D78:D81)</f>
        <v>0</v>
      </c>
      <c r="E77" s="346">
        <f t="shared" ref="E77:O77" si="18">SUM(E78:E81)</f>
        <v>100</v>
      </c>
      <c r="F77" s="322">
        <f t="shared" si="18"/>
        <v>100</v>
      </c>
      <c r="G77" s="322">
        <f t="shared" si="18"/>
        <v>100</v>
      </c>
      <c r="H77" s="322">
        <f t="shared" si="18"/>
        <v>100</v>
      </c>
      <c r="I77" s="322">
        <f t="shared" si="18"/>
        <v>100</v>
      </c>
      <c r="J77" s="322">
        <f t="shared" si="18"/>
        <v>100</v>
      </c>
      <c r="K77" s="322">
        <f t="shared" si="18"/>
        <v>100</v>
      </c>
      <c r="L77" s="322">
        <f t="shared" si="18"/>
        <v>100</v>
      </c>
      <c r="M77" s="322">
        <f t="shared" si="18"/>
        <v>100</v>
      </c>
      <c r="N77" s="322">
        <f t="shared" si="18"/>
        <v>100</v>
      </c>
      <c r="O77" s="322">
        <f t="shared" si="18"/>
        <v>100</v>
      </c>
      <c r="P77" s="354">
        <f t="shared" si="9"/>
        <v>1100</v>
      </c>
      <c r="Q77" s="315"/>
      <c r="R77" s="316" t="s">
        <v>414</v>
      </c>
    </row>
    <row r="78" spans="2:18" x14ac:dyDescent="0.3">
      <c r="B78" s="300" t="s">
        <v>47</v>
      </c>
      <c r="C78" s="323"/>
      <c r="D78" s="318"/>
      <c r="E78" s="344"/>
      <c r="F78" s="318"/>
      <c r="G78" s="318">
        <v>0</v>
      </c>
      <c r="H78" s="318">
        <v>0</v>
      </c>
      <c r="I78" s="318">
        <v>0</v>
      </c>
      <c r="J78" s="318">
        <v>0</v>
      </c>
      <c r="K78" s="318">
        <v>0</v>
      </c>
      <c r="L78" s="318">
        <v>0</v>
      </c>
      <c r="M78" s="318">
        <v>0</v>
      </c>
      <c r="N78" s="318">
        <v>0</v>
      </c>
      <c r="O78" s="318">
        <v>0</v>
      </c>
      <c r="P78" s="318">
        <f t="shared" si="9"/>
        <v>0</v>
      </c>
      <c r="Q78" s="315"/>
      <c r="R78" s="320"/>
    </row>
    <row r="79" spans="2:18" x14ac:dyDescent="0.3">
      <c r="B79" s="300" t="s">
        <v>48</v>
      </c>
      <c r="C79" s="323"/>
      <c r="D79" s="318"/>
      <c r="E79" s="344"/>
      <c r="F79" s="318"/>
      <c r="G79" s="318">
        <v>0</v>
      </c>
      <c r="H79" s="318">
        <v>0</v>
      </c>
      <c r="I79" s="318">
        <v>0</v>
      </c>
      <c r="J79" s="318">
        <v>0</v>
      </c>
      <c r="K79" s="318">
        <v>0</v>
      </c>
      <c r="L79" s="318">
        <v>0</v>
      </c>
      <c r="M79" s="318">
        <v>0</v>
      </c>
      <c r="N79" s="318">
        <v>0</v>
      </c>
      <c r="O79" s="318">
        <v>0</v>
      </c>
      <c r="P79" s="318">
        <f t="shared" si="9"/>
        <v>0</v>
      </c>
      <c r="Q79" s="315"/>
      <c r="R79" s="320"/>
    </row>
    <row r="80" spans="2:18" x14ac:dyDescent="0.3">
      <c r="B80" s="300" t="s">
        <v>49</v>
      </c>
      <c r="C80" s="323"/>
      <c r="D80" s="318"/>
      <c r="E80" s="344"/>
      <c r="F80" s="318"/>
      <c r="G80" s="318">
        <v>0</v>
      </c>
      <c r="H80" s="318">
        <v>0</v>
      </c>
      <c r="I80" s="318">
        <v>0</v>
      </c>
      <c r="J80" s="318">
        <v>0</v>
      </c>
      <c r="K80" s="318">
        <v>0</v>
      </c>
      <c r="L80" s="318">
        <v>0</v>
      </c>
      <c r="M80" s="318">
        <v>0</v>
      </c>
      <c r="N80" s="318">
        <v>0</v>
      </c>
      <c r="O80" s="318">
        <v>0</v>
      </c>
      <c r="P80" s="318">
        <v>0</v>
      </c>
      <c r="Q80" s="315"/>
      <c r="R80" s="320"/>
    </row>
    <row r="81" spans="2:18" x14ac:dyDescent="0.3">
      <c r="B81" s="300" t="s">
        <v>50</v>
      </c>
      <c r="C81" s="323"/>
      <c r="D81" s="318"/>
      <c r="E81" s="344">
        <v>100</v>
      </c>
      <c r="F81" s="318">
        <v>100</v>
      </c>
      <c r="G81" s="318">
        <v>100</v>
      </c>
      <c r="H81" s="318">
        <v>100</v>
      </c>
      <c r="I81" s="318">
        <v>100</v>
      </c>
      <c r="J81" s="318">
        <v>100</v>
      </c>
      <c r="K81" s="318">
        <v>100</v>
      </c>
      <c r="L81" s="318">
        <v>100</v>
      </c>
      <c r="M81" s="318">
        <v>100</v>
      </c>
      <c r="N81" s="318">
        <v>100</v>
      </c>
      <c r="O81" s="318">
        <v>100</v>
      </c>
      <c r="P81" s="318">
        <f t="shared" si="9"/>
        <v>1100</v>
      </c>
      <c r="Q81" s="315"/>
      <c r="R81" s="320"/>
    </row>
    <row r="82" spans="2:18" ht="32.25" x14ac:dyDescent="0.3">
      <c r="B82" s="297" t="s">
        <v>51</v>
      </c>
      <c r="C82" s="323"/>
      <c r="D82" s="322">
        <f>D83</f>
        <v>0</v>
      </c>
      <c r="E82" s="346">
        <f t="shared" ref="E82:O82" si="19">E83</f>
        <v>0</v>
      </c>
      <c r="F82" s="322">
        <f t="shared" si="19"/>
        <v>0</v>
      </c>
      <c r="G82" s="322">
        <f t="shared" si="19"/>
        <v>0</v>
      </c>
      <c r="H82" s="322">
        <f t="shared" si="19"/>
        <v>0</v>
      </c>
      <c r="I82" s="322">
        <f t="shared" si="19"/>
        <v>0</v>
      </c>
      <c r="J82" s="322">
        <f t="shared" si="19"/>
        <v>0</v>
      </c>
      <c r="K82" s="322">
        <f t="shared" si="19"/>
        <v>0</v>
      </c>
      <c r="L82" s="322">
        <f t="shared" si="19"/>
        <v>0</v>
      </c>
      <c r="M82" s="322">
        <f t="shared" si="19"/>
        <v>0</v>
      </c>
      <c r="N82" s="322">
        <f t="shared" si="19"/>
        <v>0</v>
      </c>
      <c r="O82" s="322">
        <f t="shared" si="19"/>
        <v>0</v>
      </c>
      <c r="P82" s="354">
        <f t="shared" si="9"/>
        <v>0</v>
      </c>
      <c r="Q82" s="315"/>
      <c r="R82" s="320"/>
    </row>
    <row r="83" spans="2:18" x14ac:dyDescent="0.3">
      <c r="B83" s="300" t="s">
        <v>277</v>
      </c>
      <c r="C83" s="323"/>
      <c r="D83" s="318"/>
      <c r="E83" s="344"/>
      <c r="F83" s="318"/>
      <c r="G83" s="318"/>
      <c r="H83" s="318"/>
      <c r="I83" s="318"/>
      <c r="J83" s="318"/>
      <c r="K83" s="318"/>
      <c r="L83" s="318"/>
      <c r="M83" s="318"/>
      <c r="N83" s="318"/>
      <c r="O83" s="318"/>
      <c r="P83" s="318">
        <f t="shared" si="9"/>
        <v>0</v>
      </c>
      <c r="Q83" s="315"/>
      <c r="R83" s="320"/>
    </row>
    <row r="84" spans="2:18" ht="48" x14ac:dyDescent="0.3">
      <c r="B84" s="297" t="s">
        <v>52</v>
      </c>
      <c r="C84" s="323"/>
      <c r="D84" s="322">
        <f>SUM(D85)</f>
        <v>0</v>
      </c>
      <c r="E84" s="346">
        <f t="shared" ref="E84:O84" si="20">SUM(E85)</f>
        <v>0</v>
      </c>
      <c r="F84" s="322">
        <f t="shared" si="20"/>
        <v>0</v>
      </c>
      <c r="G84" s="322">
        <f t="shared" si="20"/>
        <v>0</v>
      </c>
      <c r="H84" s="322">
        <f t="shared" si="20"/>
        <v>0</v>
      </c>
      <c r="I84" s="322">
        <f t="shared" si="20"/>
        <v>0</v>
      </c>
      <c r="J84" s="322">
        <f t="shared" si="20"/>
        <v>0</v>
      </c>
      <c r="K84" s="322">
        <f t="shared" si="20"/>
        <v>0</v>
      </c>
      <c r="L84" s="322">
        <f t="shared" si="20"/>
        <v>0</v>
      </c>
      <c r="M84" s="322">
        <f t="shared" si="20"/>
        <v>0</v>
      </c>
      <c r="N84" s="322">
        <f t="shared" si="20"/>
        <v>0</v>
      </c>
      <c r="O84" s="322">
        <f t="shared" si="20"/>
        <v>0</v>
      </c>
      <c r="P84" s="354">
        <f t="shared" si="9"/>
        <v>0</v>
      </c>
      <c r="Q84" s="315"/>
      <c r="R84" s="320"/>
    </row>
    <row r="85" spans="2:18" x14ac:dyDescent="0.3">
      <c r="B85" s="300" t="s">
        <v>53</v>
      </c>
      <c r="C85" s="323"/>
      <c r="D85" s="318"/>
      <c r="E85" s="344"/>
      <c r="F85" s="318"/>
      <c r="G85" s="318"/>
      <c r="H85" s="318"/>
      <c r="I85" s="318"/>
      <c r="J85" s="318"/>
      <c r="K85" s="318"/>
      <c r="L85" s="318"/>
      <c r="M85" s="318"/>
      <c r="N85" s="318"/>
      <c r="O85" s="318"/>
      <c r="P85" s="318">
        <f t="shared" si="9"/>
        <v>0</v>
      </c>
      <c r="Q85" s="315"/>
      <c r="R85" s="320"/>
    </row>
    <row r="86" spans="2:18" ht="32.25" x14ac:dyDescent="0.3">
      <c r="B86" s="297" t="s">
        <v>54</v>
      </c>
      <c r="C86" s="323"/>
      <c r="D86" s="322">
        <f>D87</f>
        <v>0</v>
      </c>
      <c r="E86" s="346">
        <f t="shared" ref="E86:O86" si="21">E87</f>
        <v>0</v>
      </c>
      <c r="F86" s="322">
        <f t="shared" si="21"/>
        <v>0</v>
      </c>
      <c r="G86" s="322">
        <f t="shared" si="21"/>
        <v>0</v>
      </c>
      <c r="H86" s="322">
        <f t="shared" si="21"/>
        <v>0</v>
      </c>
      <c r="I86" s="322">
        <f t="shared" si="21"/>
        <v>0</v>
      </c>
      <c r="J86" s="322">
        <f t="shared" si="21"/>
        <v>0</v>
      </c>
      <c r="K86" s="322">
        <f t="shared" si="21"/>
        <v>0</v>
      </c>
      <c r="L86" s="322">
        <f t="shared" si="21"/>
        <v>0</v>
      </c>
      <c r="M86" s="322">
        <f t="shared" si="21"/>
        <v>0</v>
      </c>
      <c r="N86" s="322">
        <f t="shared" si="21"/>
        <v>0</v>
      </c>
      <c r="O86" s="322">
        <f t="shared" si="21"/>
        <v>0</v>
      </c>
      <c r="P86" s="354">
        <f t="shared" si="9"/>
        <v>0</v>
      </c>
      <c r="Q86" s="315"/>
      <c r="R86" s="320"/>
    </row>
    <row r="87" spans="2:18" x14ac:dyDescent="0.3">
      <c r="B87" s="300" t="s">
        <v>55</v>
      </c>
      <c r="C87" s="323"/>
      <c r="D87" s="318"/>
      <c r="E87" s="344"/>
      <c r="F87" s="318"/>
      <c r="G87" s="318"/>
      <c r="H87" s="318"/>
      <c r="I87" s="318"/>
      <c r="J87" s="318"/>
      <c r="K87" s="318"/>
      <c r="L87" s="318"/>
      <c r="M87" s="318"/>
      <c r="N87" s="318"/>
      <c r="O87" s="318"/>
      <c r="P87" s="318">
        <f t="shared" si="9"/>
        <v>0</v>
      </c>
      <c r="Q87" s="315"/>
      <c r="R87" s="320"/>
    </row>
    <row r="88" spans="2:18" ht="48" x14ac:dyDescent="0.3">
      <c r="B88" s="297" t="s">
        <v>56</v>
      </c>
      <c r="C88" s="323"/>
      <c r="D88" s="322"/>
      <c r="E88" s="346"/>
      <c r="F88" s="324">
        <v>0</v>
      </c>
      <c r="G88" s="322"/>
      <c r="H88" s="322"/>
      <c r="I88" s="324">
        <v>0</v>
      </c>
      <c r="J88" s="322"/>
      <c r="K88" s="322"/>
      <c r="L88" s="324">
        <v>0</v>
      </c>
      <c r="M88" s="322"/>
      <c r="N88" s="322"/>
      <c r="O88" s="324">
        <v>0</v>
      </c>
      <c r="P88" s="355">
        <f t="shared" si="9"/>
        <v>0</v>
      </c>
      <c r="Q88" s="315"/>
      <c r="R88" s="316" t="s">
        <v>308</v>
      </c>
    </row>
    <row r="89" spans="2:18" ht="32.25" x14ac:dyDescent="0.3">
      <c r="B89" s="297" t="s">
        <v>57</v>
      </c>
      <c r="C89" s="323"/>
      <c r="D89" s="322">
        <v>400</v>
      </c>
      <c r="E89" s="346">
        <f t="shared" ref="E89:O89" si="22">SUM(E90:E91)</f>
        <v>0</v>
      </c>
      <c r="F89" s="322">
        <f t="shared" si="22"/>
        <v>0</v>
      </c>
      <c r="G89" s="322">
        <f t="shared" si="22"/>
        <v>0</v>
      </c>
      <c r="H89" s="322">
        <f t="shared" si="22"/>
        <v>0</v>
      </c>
      <c r="I89" s="322">
        <f t="shared" si="22"/>
        <v>0</v>
      </c>
      <c r="J89" s="322">
        <f t="shared" si="22"/>
        <v>0</v>
      </c>
      <c r="K89" s="322">
        <f t="shared" si="22"/>
        <v>0</v>
      </c>
      <c r="L89" s="322">
        <f t="shared" si="22"/>
        <v>0</v>
      </c>
      <c r="M89" s="322">
        <f t="shared" si="22"/>
        <v>0</v>
      </c>
      <c r="N89" s="322">
        <f t="shared" si="22"/>
        <v>0</v>
      </c>
      <c r="O89" s="322">
        <f t="shared" si="22"/>
        <v>0</v>
      </c>
      <c r="P89" s="354">
        <f t="shared" si="9"/>
        <v>400</v>
      </c>
      <c r="Q89" s="315"/>
      <c r="R89" s="320"/>
    </row>
    <row r="90" spans="2:18" x14ac:dyDescent="0.3">
      <c r="B90" s="300" t="s">
        <v>58</v>
      </c>
      <c r="C90" s="323"/>
      <c r="D90" s="318"/>
      <c r="E90" s="344"/>
      <c r="F90" s="318"/>
      <c r="G90" s="318"/>
      <c r="H90" s="318"/>
      <c r="I90" s="318"/>
      <c r="J90" s="318"/>
      <c r="K90" s="318"/>
      <c r="L90" s="318"/>
      <c r="M90" s="318"/>
      <c r="N90" s="318"/>
      <c r="O90" s="318"/>
      <c r="P90" s="318">
        <f t="shared" ref="P90:P104" si="23">SUM(D90:O90)</f>
        <v>0</v>
      </c>
      <c r="Q90" s="315"/>
      <c r="R90" s="320"/>
    </row>
    <row r="91" spans="2:18" x14ac:dyDescent="0.3">
      <c r="B91" s="300" t="s">
        <v>59</v>
      </c>
      <c r="C91" s="323"/>
      <c r="D91" s="318">
        <v>400</v>
      </c>
      <c r="E91" s="344"/>
      <c r="F91" s="318"/>
      <c r="G91" s="318"/>
      <c r="H91" s="318"/>
      <c r="I91" s="318"/>
      <c r="J91" s="318"/>
      <c r="K91" s="318"/>
      <c r="L91" s="318"/>
      <c r="M91" s="318"/>
      <c r="N91" s="318"/>
      <c r="O91" s="318"/>
      <c r="P91" s="318">
        <f t="shared" si="23"/>
        <v>400</v>
      </c>
      <c r="Q91" s="315"/>
      <c r="R91" s="320"/>
    </row>
    <row r="92" spans="2:18" ht="32.25" x14ac:dyDescent="0.3">
      <c r="B92" s="297" t="s">
        <v>60</v>
      </c>
      <c r="C92" s="323"/>
      <c r="D92" s="322">
        <f>D93</f>
        <v>0</v>
      </c>
      <c r="E92" s="346">
        <f t="shared" ref="E92:O92" si="24">E93</f>
        <v>0</v>
      </c>
      <c r="F92" s="322">
        <f t="shared" si="24"/>
        <v>0</v>
      </c>
      <c r="G92" s="322">
        <f t="shared" si="24"/>
        <v>0</v>
      </c>
      <c r="H92" s="322">
        <f t="shared" si="24"/>
        <v>0</v>
      </c>
      <c r="I92" s="322">
        <f t="shared" si="24"/>
        <v>0</v>
      </c>
      <c r="J92" s="322">
        <f t="shared" si="24"/>
        <v>0</v>
      </c>
      <c r="K92" s="322">
        <f t="shared" si="24"/>
        <v>0</v>
      </c>
      <c r="L92" s="322">
        <f t="shared" si="24"/>
        <v>0</v>
      </c>
      <c r="M92" s="322">
        <f t="shared" si="24"/>
        <v>0</v>
      </c>
      <c r="N92" s="322">
        <f t="shared" si="24"/>
        <v>0</v>
      </c>
      <c r="O92" s="322">
        <f t="shared" si="24"/>
        <v>0</v>
      </c>
      <c r="P92" s="354">
        <f t="shared" si="23"/>
        <v>0</v>
      </c>
      <c r="Q92" s="315"/>
      <c r="R92" s="320"/>
    </row>
    <row r="93" spans="2:18" x14ac:dyDescent="0.3">
      <c r="B93" s="300" t="s">
        <v>61</v>
      </c>
      <c r="C93" s="323"/>
      <c r="D93" s="318"/>
      <c r="E93" s="344"/>
      <c r="F93" s="318"/>
      <c r="G93" s="318"/>
      <c r="H93" s="318"/>
      <c r="I93" s="318"/>
      <c r="J93" s="318"/>
      <c r="K93" s="318"/>
      <c r="L93" s="318"/>
      <c r="M93" s="318"/>
      <c r="N93" s="318"/>
      <c r="O93" s="318"/>
      <c r="P93" s="318">
        <f t="shared" si="23"/>
        <v>0</v>
      </c>
      <c r="Q93" s="315"/>
      <c r="R93" s="320"/>
    </row>
    <row r="94" spans="2:18" ht="35.1" customHeight="1" x14ac:dyDescent="0.3">
      <c r="B94" s="297" t="s">
        <v>62</v>
      </c>
      <c r="C94" s="323"/>
      <c r="D94" s="322">
        <f>SUM(D95:D99)</f>
        <v>0</v>
      </c>
      <c r="E94" s="322">
        <f t="shared" ref="E94:O94" si="25">SUM(E95:E99)</f>
        <v>8000</v>
      </c>
      <c r="F94" s="322">
        <f t="shared" si="25"/>
        <v>3081</v>
      </c>
      <c r="G94" s="322">
        <f t="shared" si="25"/>
        <v>0</v>
      </c>
      <c r="H94" s="322">
        <f t="shared" si="25"/>
        <v>0</v>
      </c>
      <c r="I94" s="322">
        <f t="shared" si="25"/>
        <v>0</v>
      </c>
      <c r="J94" s="322">
        <f t="shared" si="25"/>
        <v>0</v>
      </c>
      <c r="K94" s="322">
        <f t="shared" si="25"/>
        <v>0</v>
      </c>
      <c r="L94" s="322">
        <f t="shared" si="25"/>
        <v>0</v>
      </c>
      <c r="M94" s="322">
        <f t="shared" si="25"/>
        <v>0</v>
      </c>
      <c r="N94" s="322">
        <f t="shared" si="25"/>
        <v>0</v>
      </c>
      <c r="O94" s="322">
        <f t="shared" si="25"/>
        <v>0</v>
      </c>
      <c r="P94" s="354">
        <f t="shared" si="23"/>
        <v>11081</v>
      </c>
      <c r="Q94" s="315"/>
      <c r="R94" s="316" t="s">
        <v>309</v>
      </c>
    </row>
    <row r="95" spans="2:18" x14ac:dyDescent="0.3">
      <c r="B95" s="300" t="s">
        <v>63</v>
      </c>
      <c r="C95" s="323"/>
      <c r="D95" s="318"/>
      <c r="E95" s="344"/>
      <c r="F95" s="318"/>
      <c r="G95" s="318"/>
      <c r="H95" s="318"/>
      <c r="I95" s="318"/>
      <c r="J95" s="318"/>
      <c r="K95" s="318"/>
      <c r="L95" s="318"/>
      <c r="M95" s="318"/>
      <c r="N95" s="318"/>
      <c r="O95" s="318"/>
      <c r="P95" s="318">
        <f t="shared" si="23"/>
        <v>0</v>
      </c>
      <c r="Q95" s="315"/>
      <c r="R95" s="320"/>
    </row>
    <row r="96" spans="2:18" ht="32.25" x14ac:dyDescent="0.3">
      <c r="B96" s="300" t="s">
        <v>441</v>
      </c>
      <c r="C96" s="323"/>
      <c r="D96" s="318"/>
      <c r="E96" s="344">
        <v>6000</v>
      </c>
      <c r="F96" s="318"/>
      <c r="G96" s="318"/>
      <c r="H96" s="318"/>
      <c r="I96" s="318"/>
      <c r="J96" s="318"/>
      <c r="K96" s="318"/>
      <c r="L96" s="318"/>
      <c r="M96" s="318"/>
      <c r="N96" s="318"/>
      <c r="O96" s="318"/>
      <c r="P96" s="318">
        <f t="shared" si="23"/>
        <v>6000</v>
      </c>
      <c r="Q96" s="315"/>
      <c r="R96" s="320"/>
    </row>
    <row r="97" spans="2:18" ht="32.25" x14ac:dyDescent="0.3">
      <c r="B97" s="301" t="s">
        <v>468</v>
      </c>
      <c r="C97" s="325"/>
      <c r="D97" s="326">
        <v>0</v>
      </c>
      <c r="E97" s="327">
        <v>2000</v>
      </c>
      <c r="F97" s="318"/>
      <c r="G97" s="318"/>
      <c r="H97" s="318"/>
      <c r="I97" s="318"/>
      <c r="J97" s="318"/>
      <c r="K97" s="318"/>
      <c r="L97" s="318"/>
      <c r="M97" s="318"/>
      <c r="N97" s="318"/>
      <c r="O97" s="318"/>
      <c r="P97" s="318">
        <f t="shared" si="23"/>
        <v>2000</v>
      </c>
      <c r="Q97" s="315"/>
      <c r="R97" s="320"/>
    </row>
    <row r="98" spans="2:18" x14ac:dyDescent="0.3">
      <c r="B98" s="300" t="s">
        <v>64</v>
      </c>
      <c r="C98" s="323"/>
      <c r="D98" s="318"/>
      <c r="E98" s="344">
        <v>0</v>
      </c>
      <c r="F98" s="318">
        <v>3081</v>
      </c>
      <c r="G98" s="318"/>
      <c r="H98" s="318"/>
      <c r="I98" s="318"/>
      <c r="J98" s="318"/>
      <c r="K98" s="318"/>
      <c r="L98" s="318"/>
      <c r="M98" s="318"/>
      <c r="N98" s="318"/>
      <c r="O98" s="318"/>
      <c r="P98" s="318">
        <f t="shared" si="23"/>
        <v>3081</v>
      </c>
      <c r="Q98" s="315"/>
      <c r="R98" s="320"/>
    </row>
    <row r="99" spans="2:18" ht="32.25" x14ac:dyDescent="0.3">
      <c r="B99" s="300" t="s">
        <v>445</v>
      </c>
      <c r="C99" s="323"/>
      <c r="D99" s="318"/>
      <c r="E99" s="344"/>
      <c r="F99" s="318"/>
      <c r="G99" s="318"/>
      <c r="H99" s="318"/>
      <c r="I99" s="318"/>
      <c r="J99" s="318"/>
      <c r="K99" s="318"/>
      <c r="L99" s="318"/>
      <c r="M99" s="318"/>
      <c r="N99" s="318"/>
      <c r="O99" s="318"/>
      <c r="P99" s="318">
        <f t="shared" si="23"/>
        <v>0</v>
      </c>
      <c r="Q99" s="315"/>
      <c r="R99" s="320"/>
    </row>
    <row r="100" spans="2:18" ht="32.25" x14ac:dyDescent="0.3">
      <c r="B100" s="297" t="s">
        <v>65</v>
      </c>
      <c r="C100" s="323"/>
      <c r="D100" s="322">
        <f>SUM(D101:D104)</f>
        <v>0</v>
      </c>
      <c r="E100" s="346">
        <f t="shared" ref="E100:O100" si="26">SUM(E101:E104)</f>
        <v>0</v>
      </c>
      <c r="F100" s="322">
        <f t="shared" si="26"/>
        <v>0</v>
      </c>
      <c r="G100" s="322">
        <f t="shared" si="26"/>
        <v>0</v>
      </c>
      <c r="H100" s="322">
        <f t="shared" si="26"/>
        <v>0</v>
      </c>
      <c r="I100" s="322">
        <f t="shared" si="26"/>
        <v>0</v>
      </c>
      <c r="J100" s="322">
        <f t="shared" si="26"/>
        <v>0</v>
      </c>
      <c r="K100" s="322">
        <f t="shared" si="26"/>
        <v>0</v>
      </c>
      <c r="L100" s="322">
        <f t="shared" si="26"/>
        <v>0</v>
      </c>
      <c r="M100" s="322">
        <f t="shared" si="26"/>
        <v>0</v>
      </c>
      <c r="N100" s="322">
        <f t="shared" si="26"/>
        <v>0</v>
      </c>
      <c r="O100" s="322">
        <f t="shared" si="26"/>
        <v>0</v>
      </c>
      <c r="P100" s="354">
        <f t="shared" si="23"/>
        <v>0</v>
      </c>
      <c r="Q100" s="315"/>
      <c r="R100" s="320"/>
    </row>
    <row r="101" spans="2:18" x14ac:dyDescent="0.3">
      <c r="B101" s="296" t="s">
        <v>66</v>
      </c>
      <c r="C101" s="323"/>
      <c r="D101" s="318"/>
      <c r="E101" s="344"/>
      <c r="F101" s="318"/>
      <c r="G101" s="318"/>
      <c r="H101" s="318"/>
      <c r="I101" s="318"/>
      <c r="J101" s="318"/>
      <c r="K101" s="318"/>
      <c r="L101" s="318"/>
      <c r="M101" s="318"/>
      <c r="N101" s="318"/>
      <c r="O101" s="318"/>
      <c r="P101" s="318">
        <f t="shared" si="23"/>
        <v>0</v>
      </c>
      <c r="Q101" s="315"/>
      <c r="R101" s="320"/>
    </row>
    <row r="102" spans="2:18" ht="32.25" x14ac:dyDescent="0.3">
      <c r="B102" s="296" t="s">
        <v>67</v>
      </c>
      <c r="C102" s="323"/>
      <c r="D102" s="318"/>
      <c r="E102" s="344"/>
      <c r="F102" s="318"/>
      <c r="G102" s="318"/>
      <c r="H102" s="318"/>
      <c r="I102" s="318"/>
      <c r="J102" s="318"/>
      <c r="K102" s="318"/>
      <c r="L102" s="318"/>
      <c r="M102" s="318"/>
      <c r="N102" s="318"/>
      <c r="O102" s="318"/>
      <c r="P102" s="318">
        <f t="shared" si="23"/>
        <v>0</v>
      </c>
      <c r="Q102" s="315"/>
      <c r="R102" s="320"/>
    </row>
    <row r="103" spans="2:18" ht="48" x14ac:dyDescent="0.3">
      <c r="B103" s="296" t="s">
        <v>68</v>
      </c>
      <c r="C103" s="323"/>
      <c r="D103" s="318"/>
      <c r="E103" s="344"/>
      <c r="F103" s="318"/>
      <c r="G103" s="318"/>
      <c r="H103" s="318"/>
      <c r="I103" s="318"/>
      <c r="J103" s="318"/>
      <c r="K103" s="318"/>
      <c r="L103" s="318"/>
      <c r="M103" s="318"/>
      <c r="N103" s="318"/>
      <c r="O103" s="318"/>
      <c r="P103" s="318">
        <f t="shared" si="23"/>
        <v>0</v>
      </c>
      <c r="Q103" s="315"/>
      <c r="R103" s="320"/>
    </row>
    <row r="104" spans="2:18" ht="32.25" x14ac:dyDescent="0.3">
      <c r="B104" s="296" t="s">
        <v>69</v>
      </c>
      <c r="C104" s="323"/>
      <c r="D104" s="318"/>
      <c r="E104" s="344"/>
      <c r="F104" s="318"/>
      <c r="G104" s="318"/>
      <c r="H104" s="318"/>
      <c r="I104" s="318"/>
      <c r="J104" s="318"/>
      <c r="K104" s="318"/>
      <c r="L104" s="318"/>
      <c r="M104" s="318"/>
      <c r="N104" s="318"/>
      <c r="O104" s="318"/>
      <c r="P104" s="318">
        <f t="shared" si="23"/>
        <v>0</v>
      </c>
      <c r="Q104" s="315"/>
      <c r="R104" s="320"/>
    </row>
    <row r="105" spans="2:18" ht="20.25" x14ac:dyDescent="0.3">
      <c r="B105" s="356" t="s">
        <v>0</v>
      </c>
      <c r="C105" s="357"/>
      <c r="D105" s="357">
        <f t="shared" ref="D105:P105" si="27">D5+D21+D34+D40+D66+D72+D77+D82+D84+D86+D88+D89+D92+D94+D100</f>
        <v>2700</v>
      </c>
      <c r="E105" s="357">
        <f t="shared" si="27"/>
        <v>70803</v>
      </c>
      <c r="F105" s="357">
        <f t="shared" si="27"/>
        <v>10278</v>
      </c>
      <c r="G105" s="357">
        <f t="shared" si="27"/>
        <v>10866</v>
      </c>
      <c r="H105" s="357">
        <f t="shared" si="27"/>
        <v>10866</v>
      </c>
      <c r="I105" s="357">
        <f t="shared" si="27"/>
        <v>10866</v>
      </c>
      <c r="J105" s="357">
        <f t="shared" si="27"/>
        <v>10866</v>
      </c>
      <c r="K105" s="357">
        <f t="shared" si="27"/>
        <v>10866</v>
      </c>
      <c r="L105" s="357">
        <f t="shared" si="27"/>
        <v>10866</v>
      </c>
      <c r="M105" s="357">
        <f t="shared" si="27"/>
        <v>10866</v>
      </c>
      <c r="N105" s="357">
        <f t="shared" si="27"/>
        <v>10866</v>
      </c>
      <c r="O105" s="357">
        <f t="shared" si="27"/>
        <v>10866</v>
      </c>
      <c r="P105" s="357">
        <f t="shared" si="27"/>
        <v>181575</v>
      </c>
      <c r="Q105" s="332"/>
      <c r="R105" s="108">
        <v>0</v>
      </c>
    </row>
    <row r="106" spans="2:18" x14ac:dyDescent="0.3">
      <c r="F106" s="15"/>
    </row>
    <row r="107" spans="2:18" ht="17.25" thickBot="1" x14ac:dyDescent="0.35">
      <c r="B107" s="303" t="s">
        <v>415</v>
      </c>
    </row>
    <row r="108" spans="2:18" ht="17.25" thickBot="1" x14ac:dyDescent="0.35">
      <c r="B108" s="304" t="s">
        <v>416</v>
      </c>
      <c r="C108" s="333" t="s">
        <v>417</v>
      </c>
      <c r="D108" s="333" t="s">
        <v>418</v>
      </c>
      <c r="E108" s="333" t="s">
        <v>419</v>
      </c>
      <c r="F108" s="333" t="s">
        <v>420</v>
      </c>
      <c r="G108" s="333" t="s">
        <v>421</v>
      </c>
      <c r="H108" s="333" t="s">
        <v>422</v>
      </c>
      <c r="I108" s="333" t="s">
        <v>423</v>
      </c>
      <c r="J108" s="333" t="s">
        <v>424</v>
      </c>
      <c r="K108" s="333" t="s">
        <v>425</v>
      </c>
      <c r="L108" s="333" t="s">
        <v>426</v>
      </c>
      <c r="M108" s="333" t="s">
        <v>427</v>
      </c>
      <c r="N108" s="333" t="s">
        <v>428</v>
      </c>
      <c r="O108" s="334" t="s">
        <v>429</v>
      </c>
    </row>
    <row r="109" spans="2:18" ht="17.25" thickBot="1" x14ac:dyDescent="0.35">
      <c r="B109" s="305" t="s">
        <v>430</v>
      </c>
      <c r="C109" s="335">
        <v>200</v>
      </c>
      <c r="D109" s="336">
        <f>C115</f>
        <v>0</v>
      </c>
      <c r="E109" s="350">
        <f t="shared" ref="E109:O109" si="28">D115</f>
        <v>-2700</v>
      </c>
      <c r="F109" s="336">
        <f t="shared" si="28"/>
        <v>60252</v>
      </c>
      <c r="G109" s="336">
        <f t="shared" si="28"/>
        <v>49974</v>
      </c>
      <c r="H109" s="336">
        <f t="shared" si="28"/>
        <v>39108</v>
      </c>
      <c r="I109" s="336">
        <f t="shared" si="28"/>
        <v>28242</v>
      </c>
      <c r="J109" s="336">
        <f t="shared" si="28"/>
        <v>17376</v>
      </c>
      <c r="K109" s="336">
        <f t="shared" si="28"/>
        <v>6510</v>
      </c>
      <c r="L109" s="336">
        <f t="shared" si="28"/>
        <v>-4356</v>
      </c>
      <c r="M109" s="336">
        <f t="shared" si="28"/>
        <v>29363</v>
      </c>
      <c r="N109" s="336">
        <f t="shared" si="28"/>
        <v>18497</v>
      </c>
      <c r="O109" s="336">
        <f t="shared" si="28"/>
        <v>7631</v>
      </c>
    </row>
    <row r="110" spans="2:18" ht="17.25" thickBot="1" x14ac:dyDescent="0.35">
      <c r="B110" s="305" t="s">
        <v>431</v>
      </c>
      <c r="C110" s="336">
        <v>0</v>
      </c>
      <c r="D110" s="336">
        <v>0</v>
      </c>
      <c r="E110" s="351">
        <v>133755</v>
      </c>
      <c r="F110" s="336">
        <v>0</v>
      </c>
      <c r="G110" s="336">
        <v>0</v>
      </c>
      <c r="H110" s="336">
        <v>0</v>
      </c>
      <c r="I110" s="336">
        <v>0</v>
      </c>
      <c r="J110" s="336">
        <v>0</v>
      </c>
      <c r="K110" s="336">
        <v>0</v>
      </c>
      <c r="L110" s="335">
        <v>44585</v>
      </c>
      <c r="M110" s="336">
        <v>0</v>
      </c>
      <c r="N110" s="337">
        <v>0</v>
      </c>
      <c r="O110" s="338"/>
      <c r="P110" s="15"/>
    </row>
    <row r="111" spans="2:18" ht="17.25" thickBot="1" x14ac:dyDescent="0.35">
      <c r="B111" s="306" t="s">
        <v>432</v>
      </c>
      <c r="C111" s="339">
        <f>C109+C110</f>
        <v>200</v>
      </c>
      <c r="D111" s="339">
        <f t="shared" ref="D111:O111" si="29">D109+D110</f>
        <v>0</v>
      </c>
      <c r="E111" s="352">
        <f t="shared" si="29"/>
        <v>131055</v>
      </c>
      <c r="F111" s="339">
        <f t="shared" si="29"/>
        <v>60252</v>
      </c>
      <c r="G111" s="339">
        <f t="shared" si="29"/>
        <v>49974</v>
      </c>
      <c r="H111" s="339">
        <f t="shared" si="29"/>
        <v>39108</v>
      </c>
      <c r="I111" s="339">
        <f t="shared" si="29"/>
        <v>28242</v>
      </c>
      <c r="J111" s="339">
        <f t="shared" si="29"/>
        <v>17376</v>
      </c>
      <c r="K111" s="339">
        <f t="shared" si="29"/>
        <v>6510</v>
      </c>
      <c r="L111" s="339">
        <f t="shared" si="29"/>
        <v>40229</v>
      </c>
      <c r="M111" s="339">
        <f t="shared" si="29"/>
        <v>29363</v>
      </c>
      <c r="N111" s="339">
        <f t="shared" si="29"/>
        <v>18497</v>
      </c>
      <c r="O111" s="339">
        <f t="shared" si="29"/>
        <v>7631</v>
      </c>
    </row>
    <row r="112" spans="2:18" ht="17.25" thickBot="1" x14ac:dyDescent="0.35">
      <c r="B112" s="305" t="s">
        <v>433</v>
      </c>
      <c r="C112" s="336">
        <v>200</v>
      </c>
      <c r="D112" s="336">
        <v>0</v>
      </c>
      <c r="E112" s="350">
        <f>E40</f>
        <v>55606</v>
      </c>
      <c r="F112" s="336">
        <v>0</v>
      </c>
      <c r="G112" s="336">
        <v>0</v>
      </c>
      <c r="H112" s="336">
        <v>0</v>
      </c>
      <c r="I112" s="336">
        <v>0</v>
      </c>
      <c r="J112" s="336">
        <v>0</v>
      </c>
      <c r="K112" s="336">
        <v>0</v>
      </c>
      <c r="L112" s="336">
        <v>0</v>
      </c>
      <c r="M112" s="336">
        <v>0</v>
      </c>
      <c r="N112" s="337">
        <v>0</v>
      </c>
      <c r="O112" s="340">
        <v>0</v>
      </c>
      <c r="P112" s="15"/>
    </row>
    <row r="113" spans="2:16" ht="17.25" thickBot="1" x14ac:dyDescent="0.35">
      <c r="B113" s="305" t="s">
        <v>434</v>
      </c>
      <c r="C113" s="336">
        <v>0</v>
      </c>
      <c r="D113" s="336">
        <f>D105</f>
        <v>2700</v>
      </c>
      <c r="E113" s="350">
        <f>E105-E112</f>
        <v>15197</v>
      </c>
      <c r="F113" s="336">
        <f t="shared" ref="F113:O113" si="30">F105</f>
        <v>10278</v>
      </c>
      <c r="G113" s="336">
        <f t="shared" si="30"/>
        <v>10866</v>
      </c>
      <c r="H113" s="336">
        <f t="shared" si="30"/>
        <v>10866</v>
      </c>
      <c r="I113" s="336">
        <f t="shared" si="30"/>
        <v>10866</v>
      </c>
      <c r="J113" s="336">
        <f t="shared" si="30"/>
        <v>10866</v>
      </c>
      <c r="K113" s="336">
        <f t="shared" si="30"/>
        <v>10866</v>
      </c>
      <c r="L113" s="336">
        <f t="shared" si="30"/>
        <v>10866</v>
      </c>
      <c r="M113" s="336">
        <f t="shared" si="30"/>
        <v>10866</v>
      </c>
      <c r="N113" s="336">
        <f t="shared" si="30"/>
        <v>10866</v>
      </c>
      <c r="O113" s="336">
        <f t="shared" si="30"/>
        <v>10866</v>
      </c>
    </row>
    <row r="114" spans="2:16" ht="17.25" thickBot="1" x14ac:dyDescent="0.35">
      <c r="B114" s="306" t="s">
        <v>435</v>
      </c>
      <c r="C114" s="339">
        <f>C112+C113</f>
        <v>200</v>
      </c>
      <c r="D114" s="339">
        <f t="shared" ref="D114:O114" si="31">D112+D113</f>
        <v>2700</v>
      </c>
      <c r="E114" s="352">
        <f t="shared" si="31"/>
        <v>70803</v>
      </c>
      <c r="F114" s="339">
        <f t="shared" si="31"/>
        <v>10278</v>
      </c>
      <c r="G114" s="339">
        <f t="shared" si="31"/>
        <v>10866</v>
      </c>
      <c r="H114" s="339">
        <f t="shared" si="31"/>
        <v>10866</v>
      </c>
      <c r="I114" s="339">
        <f t="shared" si="31"/>
        <v>10866</v>
      </c>
      <c r="J114" s="339">
        <f t="shared" si="31"/>
        <v>10866</v>
      </c>
      <c r="K114" s="339">
        <f t="shared" si="31"/>
        <v>10866</v>
      </c>
      <c r="L114" s="339">
        <f t="shared" si="31"/>
        <v>10866</v>
      </c>
      <c r="M114" s="339">
        <f t="shared" si="31"/>
        <v>10866</v>
      </c>
      <c r="N114" s="339">
        <f t="shared" si="31"/>
        <v>10866</v>
      </c>
      <c r="O114" s="339">
        <f t="shared" si="31"/>
        <v>10866</v>
      </c>
      <c r="P114" s="15"/>
    </row>
    <row r="115" spans="2:16" ht="17.25" thickBot="1" x14ac:dyDescent="0.35">
      <c r="B115" s="306" t="s">
        <v>436</v>
      </c>
      <c r="C115" s="339">
        <f>C111-C114</f>
        <v>0</v>
      </c>
      <c r="D115" s="339">
        <f t="shared" ref="D115:O115" si="32">D111-D114</f>
        <v>-2700</v>
      </c>
      <c r="E115" s="339">
        <f t="shared" si="32"/>
        <v>60252</v>
      </c>
      <c r="F115" s="339">
        <f t="shared" si="32"/>
        <v>49974</v>
      </c>
      <c r="G115" s="339">
        <f t="shared" si="32"/>
        <v>39108</v>
      </c>
      <c r="H115" s="339">
        <f t="shared" si="32"/>
        <v>28242</v>
      </c>
      <c r="I115" s="339">
        <f t="shared" si="32"/>
        <v>17376</v>
      </c>
      <c r="J115" s="339">
        <f t="shared" si="32"/>
        <v>6510</v>
      </c>
      <c r="K115" s="339">
        <f t="shared" si="32"/>
        <v>-4356</v>
      </c>
      <c r="L115" s="339">
        <f t="shared" si="32"/>
        <v>29363</v>
      </c>
      <c r="M115" s="339">
        <f t="shared" si="32"/>
        <v>18497</v>
      </c>
      <c r="N115" s="339">
        <f t="shared" si="32"/>
        <v>7631</v>
      </c>
      <c r="O115" s="339">
        <f t="shared" si="32"/>
        <v>-3235</v>
      </c>
    </row>
  </sheetData>
  <mergeCells count="2">
    <mergeCell ref="B3:O3"/>
    <mergeCell ref="R6:R7"/>
  </mergeCells>
  <pageMargins left="0.7" right="0.7" top="0.75" bottom="0.75" header="0.3" footer="0.3"/>
  <pageSetup scale="62" fitToHeight="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T97"/>
  <sheetViews>
    <sheetView topLeftCell="A52" zoomScale="90" zoomScaleNormal="90" workbookViewId="0">
      <selection activeCell="G51" sqref="G51"/>
    </sheetView>
  </sheetViews>
  <sheetFormatPr defaultRowHeight="16.5" outlineLevelRow="1" outlineLevelCol="1" x14ac:dyDescent="0.3"/>
  <cols>
    <col min="2" max="2" width="54.140625" customWidth="1"/>
    <col min="3" max="3" width="16.7109375" customWidth="1"/>
    <col min="4" max="4" width="15.140625" customWidth="1"/>
    <col min="5" max="5" width="13.140625" customWidth="1"/>
    <col min="6" max="6" width="12.5703125" customWidth="1"/>
    <col min="8" max="10" width="0" hidden="1" customWidth="1" outlineLevel="1"/>
    <col min="11" max="11" width="32.42578125" style="7" customWidth="1" collapsed="1"/>
    <col min="12" max="12" width="14.140625" customWidth="1"/>
    <col min="13" max="13" width="13.5703125" customWidth="1"/>
    <col min="14" max="14" width="11.42578125" customWidth="1"/>
    <col min="15" max="15" width="12" customWidth="1"/>
    <col min="16" max="16" width="12.7109375" customWidth="1"/>
    <col min="17" max="17" width="11.85546875" customWidth="1"/>
    <col min="18" max="18" width="12.85546875" customWidth="1"/>
    <col min="19" max="19" width="18.140625" customWidth="1"/>
    <col min="20" max="20" width="12.7109375" customWidth="1"/>
  </cols>
  <sheetData>
    <row r="3" spans="2:20" ht="49.5" x14ac:dyDescent="0.25">
      <c r="B3" s="75" t="s">
        <v>71</v>
      </c>
      <c r="C3" s="29" t="s">
        <v>92</v>
      </c>
      <c r="D3" s="29" t="s">
        <v>72</v>
      </c>
      <c r="E3" s="29" t="s">
        <v>73</v>
      </c>
      <c r="F3" s="29" t="s">
        <v>74</v>
      </c>
      <c r="K3" s="437" t="s">
        <v>95</v>
      </c>
      <c r="L3" s="437"/>
      <c r="M3" s="437"/>
      <c r="N3" s="437"/>
      <c r="O3" s="437"/>
      <c r="P3" s="437"/>
      <c r="Q3" s="437"/>
      <c r="R3" s="437"/>
      <c r="S3" s="437"/>
    </row>
    <row r="4" spans="2:20" ht="42" customHeight="1" thickBot="1" x14ac:dyDescent="0.35">
      <c r="B4" s="435" t="s">
        <v>106</v>
      </c>
      <c r="C4" s="435"/>
      <c r="D4" s="435"/>
      <c r="E4" s="435"/>
      <c r="F4" s="436"/>
      <c r="K4" s="79" t="s">
        <v>105</v>
      </c>
      <c r="L4" s="79" t="s">
        <v>93</v>
      </c>
      <c r="M4" s="79" t="s">
        <v>94</v>
      </c>
      <c r="N4" s="79" t="s">
        <v>98</v>
      </c>
      <c r="O4" s="79" t="s">
        <v>99</v>
      </c>
      <c r="P4" s="79" t="s">
        <v>100</v>
      </c>
      <c r="Q4" s="79" t="s">
        <v>101</v>
      </c>
      <c r="R4" s="79" t="s">
        <v>102</v>
      </c>
      <c r="S4" s="79" t="s">
        <v>264</v>
      </c>
      <c r="T4" s="79" t="s">
        <v>265</v>
      </c>
    </row>
    <row r="5" spans="2:20" ht="26.45" customHeight="1" thickBot="1" x14ac:dyDescent="0.35">
      <c r="B5" s="18" t="s">
        <v>107</v>
      </c>
      <c r="C5" s="25"/>
      <c r="D5" s="25">
        <f>SUM(D6:D10)</f>
        <v>0</v>
      </c>
      <c r="E5" s="25">
        <f>SUM(E6:E11)</f>
        <v>0</v>
      </c>
      <c r="F5" s="438">
        <v>5</v>
      </c>
      <c r="K5" s="77" t="str">
        <f>B5</f>
        <v xml:space="preserve">I. 1. Masini si echipamente de Productie/ Prestari servicii </v>
      </c>
      <c r="L5" s="78">
        <f>E5</f>
        <v>0</v>
      </c>
      <c r="M5" s="78">
        <v>5</v>
      </c>
      <c r="N5" s="78">
        <v>0</v>
      </c>
      <c r="O5" s="78">
        <f>L5/5/4</f>
        <v>0</v>
      </c>
      <c r="P5" s="78">
        <f t="shared" ref="P5:Q7" si="0">O5</f>
        <v>0</v>
      </c>
      <c r="Q5" s="78">
        <f t="shared" si="0"/>
        <v>0</v>
      </c>
      <c r="R5" s="87">
        <f>SUM(N5:Q5)</f>
        <v>0</v>
      </c>
      <c r="S5" s="87">
        <f>L5/M5</f>
        <v>0</v>
      </c>
      <c r="T5" s="94">
        <f>S5</f>
        <v>0</v>
      </c>
    </row>
    <row r="6" spans="2:20" ht="18.95" customHeight="1" thickBot="1" x14ac:dyDescent="0.35">
      <c r="B6" s="202"/>
      <c r="C6" s="3"/>
      <c r="D6" s="73"/>
      <c r="E6" s="25"/>
      <c r="F6" s="439"/>
      <c r="K6" s="77" t="str">
        <f>B12</f>
        <v xml:space="preserve">I.2. Echipamente IT </v>
      </c>
      <c r="L6" s="78">
        <f>E12</f>
        <v>4800</v>
      </c>
      <c r="M6" s="78">
        <v>3</v>
      </c>
      <c r="N6" s="78">
        <f>L6/M6/12*2</f>
        <v>266.66666666666669</v>
      </c>
      <c r="O6" s="78">
        <f>L6/M6/4</f>
        <v>400</v>
      </c>
      <c r="P6" s="78">
        <f t="shared" si="0"/>
        <v>400</v>
      </c>
      <c r="Q6" s="78">
        <f t="shared" si="0"/>
        <v>400</v>
      </c>
      <c r="R6" s="87">
        <f>SUM(N6:Q6)</f>
        <v>1466.6666666666667</v>
      </c>
      <c r="S6" s="87">
        <f>L6/M6</f>
        <v>1600</v>
      </c>
      <c r="T6" s="94">
        <f>S6</f>
        <v>1600</v>
      </c>
    </row>
    <row r="7" spans="2:20" ht="11.45" customHeight="1" x14ac:dyDescent="0.3">
      <c r="B7" s="21"/>
      <c r="C7" s="3"/>
      <c r="D7" s="9"/>
      <c r="E7" s="25"/>
      <c r="F7" s="439"/>
      <c r="K7" s="77" t="str">
        <f>B17</f>
        <v xml:space="preserve">I. 3. Mobilier </v>
      </c>
      <c r="L7" s="78">
        <f>E17</f>
        <v>16000</v>
      </c>
      <c r="M7" s="78">
        <v>5</v>
      </c>
      <c r="N7" s="78">
        <v>0</v>
      </c>
      <c r="O7" s="78">
        <f>L7/M7/4</f>
        <v>800</v>
      </c>
      <c r="P7" s="78">
        <f t="shared" si="0"/>
        <v>800</v>
      </c>
      <c r="Q7" s="78">
        <f t="shared" si="0"/>
        <v>800</v>
      </c>
      <c r="R7" s="87">
        <f>SUM(N7:Q7)</f>
        <v>2400</v>
      </c>
      <c r="S7" s="87">
        <f>L7/M7/4</f>
        <v>800</v>
      </c>
      <c r="T7" s="94">
        <f>S7</f>
        <v>800</v>
      </c>
    </row>
    <row r="8" spans="2:20" ht="12.6" customHeight="1" x14ac:dyDescent="0.3">
      <c r="B8" s="21"/>
      <c r="C8" s="3"/>
      <c r="D8" s="3"/>
      <c r="E8" s="17">
        <f t="shared" ref="E8:E11" si="1">C8*D8</f>
        <v>0</v>
      </c>
      <c r="F8" s="439"/>
      <c r="K8" s="88" t="s">
        <v>96</v>
      </c>
      <c r="L8" s="88">
        <f>SUM(L5:L7)</f>
        <v>20800</v>
      </c>
      <c r="M8" s="88"/>
      <c r="N8" s="88">
        <f>SUM(N5:N7)</f>
        <v>266.66666666666669</v>
      </c>
      <c r="O8" s="88">
        <f t="shared" ref="O8:T8" si="2">SUM(O5:O7)</f>
        <v>1200</v>
      </c>
      <c r="P8" s="88">
        <f t="shared" si="2"/>
        <v>1200</v>
      </c>
      <c r="Q8" s="88">
        <f t="shared" si="2"/>
        <v>1200</v>
      </c>
      <c r="R8" s="88">
        <f t="shared" si="2"/>
        <v>3866.666666666667</v>
      </c>
      <c r="S8" s="88">
        <f t="shared" si="2"/>
        <v>2400</v>
      </c>
      <c r="T8" s="88">
        <f t="shared" si="2"/>
        <v>2400</v>
      </c>
    </row>
    <row r="9" spans="2:20" ht="17.45" customHeight="1" x14ac:dyDescent="0.3">
      <c r="B9" s="21"/>
      <c r="C9" s="3"/>
      <c r="D9" s="3"/>
      <c r="E9" s="17">
        <f t="shared" si="1"/>
        <v>0</v>
      </c>
      <c r="F9" s="439"/>
      <c r="K9" s="77" t="str">
        <f>B23</f>
        <v>II. Investitia - Active  necorporale</v>
      </c>
      <c r="L9" s="79" t="s">
        <v>93</v>
      </c>
      <c r="M9" s="79" t="s">
        <v>94</v>
      </c>
      <c r="N9" s="79" t="s">
        <v>98</v>
      </c>
      <c r="O9" s="79" t="s">
        <v>99</v>
      </c>
      <c r="P9" s="79" t="s">
        <v>100</v>
      </c>
      <c r="Q9" s="79" t="s">
        <v>101</v>
      </c>
      <c r="R9" s="79" t="s">
        <v>102</v>
      </c>
      <c r="S9" s="79" t="s">
        <v>103</v>
      </c>
      <c r="T9" s="79" t="s">
        <v>104</v>
      </c>
    </row>
    <row r="10" spans="2:20" ht="15.6" customHeight="1" x14ac:dyDescent="0.3">
      <c r="B10" s="21"/>
      <c r="C10" s="3"/>
      <c r="D10" s="3"/>
      <c r="E10" s="17">
        <f t="shared" si="1"/>
        <v>0</v>
      </c>
      <c r="F10" s="439"/>
      <c r="K10" s="214" t="str">
        <f>B25</f>
        <v>II.1.Programe de calculator</v>
      </c>
      <c r="L10" s="78">
        <f>E25</f>
        <v>2500</v>
      </c>
      <c r="M10" s="78">
        <f>F25</f>
        <v>3</v>
      </c>
      <c r="N10" s="78">
        <f>L10/M10/12*2</f>
        <v>138.88888888888889</v>
      </c>
      <c r="O10" s="78">
        <f>L10/M10/4</f>
        <v>208.33333333333334</v>
      </c>
      <c r="P10" s="78">
        <f>O10</f>
        <v>208.33333333333334</v>
      </c>
      <c r="Q10" s="78">
        <f>P10</f>
        <v>208.33333333333334</v>
      </c>
      <c r="R10" s="78">
        <f>SUM(N10:Q10)</f>
        <v>763.88888888888891</v>
      </c>
      <c r="S10" s="78">
        <f>L10/M10</f>
        <v>833.33333333333337</v>
      </c>
      <c r="T10" s="94">
        <f>S10</f>
        <v>833.33333333333337</v>
      </c>
    </row>
    <row r="11" spans="2:20" ht="15.6" customHeight="1" thickBot="1" x14ac:dyDescent="0.35">
      <c r="B11" s="216"/>
      <c r="C11" s="217"/>
      <c r="D11" s="217"/>
      <c r="E11" s="17">
        <f t="shared" si="1"/>
        <v>0</v>
      </c>
      <c r="F11" s="213"/>
      <c r="K11" s="214"/>
      <c r="L11" s="78"/>
      <c r="M11" s="78"/>
      <c r="N11" s="78"/>
      <c r="O11" s="78"/>
      <c r="P11" s="78"/>
      <c r="Q11" s="78"/>
      <c r="R11" s="78"/>
      <c r="S11" s="78"/>
      <c r="T11" s="94"/>
    </row>
    <row r="12" spans="2:20" x14ac:dyDescent="0.3">
      <c r="B12" s="18" t="s">
        <v>108</v>
      </c>
      <c r="C12" s="25"/>
      <c r="D12" s="25">
        <f>SUM(D13:D16)</f>
        <v>1</v>
      </c>
      <c r="E12" s="25">
        <v>4800</v>
      </c>
      <c r="F12" s="438">
        <v>3</v>
      </c>
      <c r="H12" s="7"/>
      <c r="K12" s="214" t="str">
        <f>B26</f>
        <v>II.2. Marci brevete</v>
      </c>
      <c r="L12" s="94">
        <f>E26</f>
        <v>0</v>
      </c>
      <c r="M12" s="78">
        <f>F26</f>
        <v>0</v>
      </c>
      <c r="N12" s="5"/>
      <c r="O12" s="78"/>
      <c r="P12" s="78">
        <f>O12</f>
        <v>0</v>
      </c>
      <c r="Q12" s="78">
        <f>P12</f>
        <v>0</v>
      </c>
      <c r="R12" s="78">
        <f>SUM(N12:Q12)</f>
        <v>0</v>
      </c>
      <c r="S12" s="78">
        <f>Q12</f>
        <v>0</v>
      </c>
      <c r="T12" s="94">
        <f>S12</f>
        <v>0</v>
      </c>
    </row>
    <row r="13" spans="2:20" x14ac:dyDescent="0.3">
      <c r="B13" s="20" t="s">
        <v>442</v>
      </c>
      <c r="C13" s="3">
        <v>4800</v>
      </c>
      <c r="D13" s="3">
        <v>1</v>
      </c>
      <c r="E13" s="17">
        <v>4800</v>
      </c>
      <c r="F13" s="439"/>
      <c r="K13" s="88" t="str">
        <f>B27</f>
        <v>II.3 Alte active necorporale</v>
      </c>
      <c r="L13" s="94">
        <f>E27</f>
        <v>0</v>
      </c>
      <c r="M13" s="78">
        <v>3</v>
      </c>
      <c r="N13" s="88"/>
      <c r="O13" s="78">
        <f>L13/M13/4</f>
        <v>0</v>
      </c>
      <c r="P13" s="78">
        <f>O13</f>
        <v>0</v>
      </c>
      <c r="Q13" s="78">
        <f>P13</f>
        <v>0</v>
      </c>
      <c r="R13" s="78">
        <f>SUM(N13:Q13)</f>
        <v>0</v>
      </c>
      <c r="S13" s="78">
        <f>Q13</f>
        <v>0</v>
      </c>
      <c r="T13" s="1"/>
    </row>
    <row r="14" spans="2:20" ht="11.45" customHeight="1" thickBot="1" x14ac:dyDescent="0.35">
      <c r="B14" s="74"/>
      <c r="C14" s="3"/>
      <c r="D14" s="3"/>
      <c r="E14" s="17"/>
      <c r="F14" s="439"/>
      <c r="K14" s="80" t="s">
        <v>97</v>
      </c>
      <c r="L14" s="94">
        <f>SUM(L10:L13)</f>
        <v>2500</v>
      </c>
      <c r="M14" s="78"/>
      <c r="N14" s="80">
        <f t="shared" ref="N14:T14" si="3">SUM(N10:N13)</f>
        <v>138.88888888888889</v>
      </c>
      <c r="O14" s="80">
        <f t="shared" si="3"/>
        <v>208.33333333333334</v>
      </c>
      <c r="P14" s="80">
        <f t="shared" si="3"/>
        <v>208.33333333333334</v>
      </c>
      <c r="Q14" s="80">
        <f t="shared" si="3"/>
        <v>208.33333333333334</v>
      </c>
      <c r="R14" s="80">
        <f t="shared" si="3"/>
        <v>763.88888888888891</v>
      </c>
      <c r="S14" s="80">
        <f t="shared" si="3"/>
        <v>833.33333333333337</v>
      </c>
      <c r="T14" s="80">
        <f t="shared" si="3"/>
        <v>833.33333333333337</v>
      </c>
    </row>
    <row r="15" spans="2:20" ht="17.25" thickBot="1" x14ac:dyDescent="0.35">
      <c r="B15" s="21"/>
      <c r="C15" s="3"/>
      <c r="D15" s="3"/>
      <c r="E15" s="17">
        <v>0</v>
      </c>
      <c r="F15" s="439"/>
      <c r="K15" s="215" t="s">
        <v>115</v>
      </c>
      <c r="L15" s="95">
        <f>L8+L14</f>
        <v>23300</v>
      </c>
      <c r="M15" s="95">
        <f t="shared" ref="M15:T15" si="4">M8+M14</f>
        <v>0</v>
      </c>
      <c r="N15" s="95">
        <f t="shared" si="4"/>
        <v>405.55555555555554</v>
      </c>
      <c r="O15" s="95">
        <f t="shared" si="4"/>
        <v>1408.3333333333333</v>
      </c>
      <c r="P15" s="95">
        <f t="shared" si="4"/>
        <v>1408.3333333333333</v>
      </c>
      <c r="Q15" s="95">
        <f t="shared" si="4"/>
        <v>1408.3333333333333</v>
      </c>
      <c r="R15" s="95">
        <f t="shared" si="4"/>
        <v>4630.5555555555557</v>
      </c>
      <c r="S15" s="95">
        <f t="shared" si="4"/>
        <v>3233.3333333333335</v>
      </c>
      <c r="T15" s="95">
        <f t="shared" si="4"/>
        <v>3233.3333333333335</v>
      </c>
    </row>
    <row r="16" spans="2:20" ht="17.25" thickBot="1" x14ac:dyDescent="0.35">
      <c r="B16" s="22"/>
      <c r="C16" s="4"/>
      <c r="D16" s="3"/>
      <c r="E16" s="26">
        <v>0</v>
      </c>
      <c r="F16" s="440"/>
      <c r="L16" s="81"/>
      <c r="M16" s="81"/>
      <c r="N16" s="81"/>
      <c r="O16" s="81"/>
      <c r="P16" s="81"/>
      <c r="Q16" s="81"/>
      <c r="R16" s="81"/>
      <c r="S16" s="81"/>
    </row>
    <row r="17" spans="1:11" ht="16.5" customHeight="1" x14ac:dyDescent="0.3">
      <c r="B17" s="18" t="s">
        <v>109</v>
      </c>
      <c r="C17" s="27">
        <v>16000</v>
      </c>
      <c r="D17" s="25">
        <v>1</v>
      </c>
      <c r="E17" s="28">
        <v>16000</v>
      </c>
      <c r="F17" s="438">
        <v>5</v>
      </c>
    </row>
    <row r="18" spans="1:11" x14ac:dyDescent="0.3">
      <c r="B18" s="20"/>
      <c r="C18" s="3"/>
      <c r="D18" s="3"/>
      <c r="E18" s="17">
        <f>C18*D18</f>
        <v>0</v>
      </c>
      <c r="F18" s="439"/>
    </row>
    <row r="19" spans="1:11" x14ac:dyDescent="0.3">
      <c r="B19" s="21"/>
      <c r="C19" s="3"/>
      <c r="D19" s="3"/>
      <c r="E19" s="17">
        <v>0</v>
      </c>
      <c r="F19" s="439"/>
      <c r="K19" s="111"/>
    </row>
    <row r="20" spans="1:11" ht="17.25" thickBot="1" x14ac:dyDescent="0.35">
      <c r="B20" s="24"/>
      <c r="C20" s="4"/>
      <c r="D20" s="4"/>
      <c r="E20" s="26">
        <v>0</v>
      </c>
      <c r="F20" s="440"/>
      <c r="K20" s="111"/>
    </row>
    <row r="21" spans="1:11" ht="17.25" thickBot="1" x14ac:dyDescent="0.35">
      <c r="B21" s="30" t="s">
        <v>118</v>
      </c>
      <c r="C21" s="31" t="s">
        <v>75</v>
      </c>
      <c r="D21" s="37"/>
      <c r="E21" s="38">
        <f>E5+E12+E17</f>
        <v>20800</v>
      </c>
    </row>
    <row r="22" spans="1:11" x14ac:dyDescent="0.3">
      <c r="B22" s="82"/>
      <c r="C22" s="83"/>
      <c r="D22" s="84"/>
      <c r="E22" s="84"/>
    </row>
    <row r="23" spans="1:11" ht="49.5" x14ac:dyDescent="0.3">
      <c r="B23" s="77" t="s">
        <v>114</v>
      </c>
      <c r="C23" s="29" t="s">
        <v>92</v>
      </c>
      <c r="D23" s="29" t="s">
        <v>72</v>
      </c>
      <c r="E23" s="29" t="s">
        <v>73</v>
      </c>
      <c r="F23" s="29" t="s">
        <v>74</v>
      </c>
    </row>
    <row r="24" spans="1:11" ht="27.95" customHeight="1" x14ac:dyDescent="0.3">
      <c r="B24" s="432" t="s">
        <v>110</v>
      </c>
      <c r="C24" s="433"/>
      <c r="D24" s="433"/>
      <c r="E24" s="433"/>
      <c r="F24" s="434"/>
    </row>
    <row r="25" spans="1:11" x14ac:dyDescent="0.3">
      <c r="B25" s="75" t="s">
        <v>111</v>
      </c>
      <c r="C25" s="85">
        <v>2500</v>
      </c>
      <c r="D25" s="86">
        <v>1</v>
      </c>
      <c r="E25" s="86">
        <f>C25*D25</f>
        <v>2500</v>
      </c>
      <c r="F25" s="1">
        <v>3</v>
      </c>
    </row>
    <row r="26" spans="1:11" x14ac:dyDescent="0.3">
      <c r="B26" s="75" t="s">
        <v>112</v>
      </c>
      <c r="C26" s="85"/>
      <c r="D26" s="86"/>
      <c r="E26" s="86"/>
      <c r="F26" s="1"/>
    </row>
    <row r="27" spans="1:11" x14ac:dyDescent="0.3">
      <c r="B27" s="75" t="s">
        <v>113</v>
      </c>
      <c r="C27" s="85"/>
      <c r="D27" s="86"/>
      <c r="E27" s="86"/>
      <c r="F27" s="1"/>
    </row>
    <row r="28" spans="1:11" ht="17.25" thickBot="1" x14ac:dyDescent="0.35">
      <c r="B28" s="75"/>
      <c r="C28" s="85"/>
      <c r="D28" s="86"/>
      <c r="E28" s="86"/>
      <c r="F28" s="1"/>
    </row>
    <row r="29" spans="1:11" ht="17.25" thickBot="1" x14ac:dyDescent="0.35">
      <c r="B29" s="30" t="s">
        <v>119</v>
      </c>
      <c r="C29" s="31" t="s">
        <v>75</v>
      </c>
      <c r="D29" s="37">
        <v>7</v>
      </c>
      <c r="E29" s="38">
        <f>SUM(E25:E28)</f>
        <v>2500</v>
      </c>
      <c r="F29" s="1"/>
    </row>
    <row r="30" spans="1:11" ht="32.450000000000003" customHeight="1" x14ac:dyDescent="0.3">
      <c r="A30" s="2"/>
      <c r="B30" s="2"/>
      <c r="C30" s="2"/>
      <c r="D30" s="2"/>
      <c r="E30" s="2"/>
      <c r="F30" s="2"/>
    </row>
    <row r="31" spans="1:11" ht="33" x14ac:dyDescent="0.3">
      <c r="A31" s="2"/>
      <c r="B31" s="6" t="s">
        <v>116</v>
      </c>
      <c r="C31" s="29" t="s">
        <v>76</v>
      </c>
      <c r="D31" s="29" t="s">
        <v>72</v>
      </c>
      <c r="E31" s="29" t="s">
        <v>73</v>
      </c>
      <c r="F31" s="82"/>
    </row>
    <row r="32" spans="1:11" x14ac:dyDescent="0.3">
      <c r="A32" s="2"/>
      <c r="B32" s="6" t="s">
        <v>77</v>
      </c>
      <c r="C32" s="6"/>
      <c r="D32" s="6">
        <v>1</v>
      </c>
      <c r="E32" s="16">
        <f t="shared" ref="E32:E37" si="5">C32*D32</f>
        <v>0</v>
      </c>
      <c r="F32" s="2"/>
    </row>
    <row r="33" spans="1:6" x14ac:dyDescent="0.3">
      <c r="A33" s="2"/>
      <c r="B33" s="6" t="s">
        <v>172</v>
      </c>
      <c r="C33" s="6">
        <v>13930</v>
      </c>
      <c r="D33" s="6">
        <v>1</v>
      </c>
      <c r="E33" s="16">
        <f t="shared" si="5"/>
        <v>13930</v>
      </c>
      <c r="F33" s="2"/>
    </row>
    <row r="34" spans="1:6" outlineLevel="1" x14ac:dyDescent="0.3">
      <c r="A34" s="2"/>
      <c r="B34" s="6"/>
      <c r="C34" s="6"/>
      <c r="D34" s="6"/>
      <c r="E34" s="16">
        <f t="shared" si="5"/>
        <v>0</v>
      </c>
      <c r="F34" s="2"/>
    </row>
    <row r="35" spans="1:6" outlineLevel="1" x14ac:dyDescent="0.3">
      <c r="A35" s="2"/>
      <c r="B35" s="6"/>
      <c r="C35" s="6"/>
      <c r="D35" s="6">
        <v>0</v>
      </c>
      <c r="E35" s="16">
        <f t="shared" si="5"/>
        <v>0</v>
      </c>
      <c r="F35" s="2"/>
    </row>
    <row r="36" spans="1:6" outlineLevel="1" x14ac:dyDescent="0.3">
      <c r="A36" s="2"/>
      <c r="B36" s="6"/>
      <c r="C36" s="6"/>
      <c r="D36" s="6"/>
      <c r="E36" s="16">
        <f t="shared" si="5"/>
        <v>0</v>
      </c>
      <c r="F36" s="2"/>
    </row>
    <row r="37" spans="1:6" outlineLevel="1" x14ac:dyDescent="0.3">
      <c r="A37" s="2"/>
      <c r="B37" s="6"/>
      <c r="C37" s="6"/>
      <c r="D37" s="6"/>
      <c r="E37" s="16">
        <f t="shared" si="5"/>
        <v>0</v>
      </c>
      <c r="F37" s="2"/>
    </row>
    <row r="38" spans="1:6" outlineLevel="1" x14ac:dyDescent="0.3">
      <c r="A38" s="2"/>
      <c r="B38" s="6"/>
      <c r="C38" s="6"/>
      <c r="D38" s="6"/>
      <c r="E38" s="16">
        <v>0</v>
      </c>
      <c r="F38" s="2"/>
    </row>
    <row r="39" spans="1:6" x14ac:dyDescent="0.3">
      <c r="A39" s="2"/>
      <c r="B39" s="6" t="s">
        <v>117</v>
      </c>
      <c r="C39" s="6"/>
      <c r="D39" s="6"/>
      <c r="E39" s="16">
        <f>SUM(E32:E38)</f>
        <v>13930</v>
      </c>
      <c r="F39" s="2"/>
    </row>
    <row r="40" spans="1:6" x14ac:dyDescent="0.3">
      <c r="A40" s="2"/>
      <c r="B40" s="89"/>
      <c r="C40" s="90"/>
      <c r="D40" s="90"/>
      <c r="E40" s="91"/>
      <c r="F40" s="2"/>
    </row>
    <row r="41" spans="1:6" ht="29.45" customHeight="1" x14ac:dyDescent="0.3">
      <c r="B41" s="92" t="s">
        <v>120</v>
      </c>
      <c r="C41" s="29" t="s">
        <v>76</v>
      </c>
      <c r="D41" s="29" t="s">
        <v>72</v>
      </c>
      <c r="E41" s="29" t="s">
        <v>73</v>
      </c>
      <c r="F41" s="441"/>
    </row>
    <row r="42" spans="1:6" x14ac:dyDescent="0.3">
      <c r="B42" s="72" t="s">
        <v>170</v>
      </c>
      <c r="C42" s="3"/>
      <c r="D42" s="3"/>
      <c r="E42" s="17"/>
      <c r="F42" s="441"/>
    </row>
    <row r="43" spans="1:6" x14ac:dyDescent="0.3">
      <c r="B43" s="72" t="s">
        <v>166</v>
      </c>
      <c r="C43" s="3"/>
      <c r="D43" s="3"/>
      <c r="E43" s="17">
        <f>C43*D43</f>
        <v>0</v>
      </c>
      <c r="F43" s="441"/>
    </row>
    <row r="44" spans="1:6" x14ac:dyDescent="0.3">
      <c r="B44" s="72" t="s">
        <v>168</v>
      </c>
      <c r="C44" s="3"/>
      <c r="D44" s="3"/>
      <c r="E44" s="17">
        <f>C44*D44</f>
        <v>0</v>
      </c>
      <c r="F44" s="441"/>
    </row>
    <row r="45" spans="1:6" x14ac:dyDescent="0.3">
      <c r="B45" s="291" t="s">
        <v>444</v>
      </c>
      <c r="C45" s="3"/>
      <c r="D45" s="3"/>
      <c r="E45" s="17"/>
      <c r="F45" s="441"/>
    </row>
    <row r="46" spans="1:6" x14ac:dyDescent="0.3">
      <c r="B46" s="76"/>
      <c r="C46" s="3"/>
      <c r="D46" s="3"/>
      <c r="E46" s="17">
        <f>C46*D46</f>
        <v>0</v>
      </c>
      <c r="F46" s="441"/>
    </row>
    <row r="47" spans="1:6" x14ac:dyDescent="0.3">
      <c r="B47" s="76"/>
      <c r="C47" s="3"/>
      <c r="D47" s="3"/>
      <c r="E47" s="17"/>
      <c r="F47" s="441"/>
    </row>
    <row r="48" spans="1:6" ht="17.25" thickBot="1" x14ac:dyDescent="0.35">
      <c r="A48" s="2"/>
      <c r="B48" s="2"/>
      <c r="C48" s="2"/>
      <c r="D48" s="2"/>
      <c r="E48" s="34"/>
      <c r="F48" s="2"/>
    </row>
    <row r="49" spans="2:9" x14ac:dyDescent="0.3">
      <c r="B49" s="18" t="s">
        <v>121</v>
      </c>
      <c r="C49" s="35" t="s">
        <v>78</v>
      </c>
      <c r="D49" s="35" t="s">
        <v>72</v>
      </c>
      <c r="E49" s="36" t="s">
        <v>79</v>
      </c>
    </row>
    <row r="50" spans="2:9" x14ac:dyDescent="0.3">
      <c r="B50" s="23" t="s">
        <v>80</v>
      </c>
      <c r="C50" s="6"/>
      <c r="D50" s="16">
        <v>3</v>
      </c>
      <c r="E50" s="19">
        <f>SUM(E51:E53)</f>
        <v>400</v>
      </c>
      <c r="F50" s="15"/>
    </row>
    <row r="51" spans="2:9" ht="33" x14ac:dyDescent="0.3">
      <c r="B51" s="32" t="s">
        <v>171</v>
      </c>
      <c r="C51" s="5">
        <v>400</v>
      </c>
      <c r="D51" s="5">
        <v>1</v>
      </c>
      <c r="E51" s="19">
        <f>C51*D51</f>
        <v>400</v>
      </c>
      <c r="F51" s="15"/>
    </row>
    <row r="52" spans="2:9" ht="33" x14ac:dyDescent="0.3">
      <c r="B52" s="33" t="s">
        <v>81</v>
      </c>
      <c r="C52" s="5"/>
      <c r="D52" s="5">
        <v>1</v>
      </c>
      <c r="E52" s="19"/>
      <c r="F52" s="15"/>
    </row>
    <row r="53" spans="2:9" ht="33.75" thickBot="1" x14ac:dyDescent="0.35">
      <c r="B53" s="54" t="s">
        <v>443</v>
      </c>
      <c r="C53" s="55"/>
      <c r="D53" s="55">
        <v>1</v>
      </c>
      <c r="E53" s="19"/>
      <c r="F53" s="15"/>
    </row>
    <row r="54" spans="2:9" ht="17.25" thickBot="1" x14ac:dyDescent="0.35">
      <c r="B54" s="14"/>
      <c r="C54" s="7"/>
      <c r="D54" s="7"/>
      <c r="E54" s="7"/>
      <c r="F54" s="15"/>
    </row>
    <row r="55" spans="2:9" ht="33" x14ac:dyDescent="0.3">
      <c r="B55" s="42" t="s">
        <v>122</v>
      </c>
      <c r="C55" s="39" t="s">
        <v>79</v>
      </c>
      <c r="D55" s="40" t="s">
        <v>82</v>
      </c>
      <c r="I55" s="69"/>
    </row>
    <row r="56" spans="2:9" ht="33" x14ac:dyDescent="0.3">
      <c r="B56" s="33" t="str">
        <f>B4</f>
        <v>I.Active corporale cu valoare unitara mai mare de 2500 lei ( TVA inclus)</v>
      </c>
      <c r="C56" s="46">
        <f>E21</f>
        <v>20800</v>
      </c>
      <c r="D56" s="47">
        <f>C56/C61</f>
        <v>0.55275046505447778</v>
      </c>
      <c r="E56" t="s">
        <v>165</v>
      </c>
      <c r="I56" s="70"/>
    </row>
    <row r="57" spans="2:9" ht="33" x14ac:dyDescent="0.3">
      <c r="B57" s="93" t="str">
        <f>B24</f>
        <v>II. Investitia - Active  necorporale cu valoare unitara mai mare de 2500 lei ( TVA inclus)</v>
      </c>
      <c r="C57" s="48">
        <f>E29</f>
        <v>2500</v>
      </c>
      <c r="D57" s="49">
        <f>C57/C61</f>
        <v>6.6436353972893963E-2</v>
      </c>
      <c r="E57" t="s">
        <v>165</v>
      </c>
    </row>
    <row r="58" spans="2:9" x14ac:dyDescent="0.3">
      <c r="B58" s="41" t="str">
        <f>B31</f>
        <v xml:space="preserve">III. Obiecte de inventar ( valoare achizitie &lt;2500 lei TVA inclus) </v>
      </c>
      <c r="C58" s="48">
        <f>E39</f>
        <v>13930</v>
      </c>
      <c r="D58" s="49">
        <f>C58/C61</f>
        <v>0.37018336433696519</v>
      </c>
      <c r="E58" t="s">
        <v>165</v>
      </c>
    </row>
    <row r="59" spans="2:9" x14ac:dyDescent="0.3">
      <c r="B59" s="33" t="str">
        <f>B41</f>
        <v>IV. Amanenajari spatii de Productie /Prestari servicii/Comert</v>
      </c>
      <c r="C59" s="48">
        <f>E47</f>
        <v>0</v>
      </c>
      <c r="D59" s="49">
        <v>0</v>
      </c>
      <c r="E59" t="s">
        <v>165</v>
      </c>
    </row>
    <row r="60" spans="2:9" ht="17.25" thickBot="1" x14ac:dyDescent="0.35">
      <c r="B60" s="43" t="str">
        <f>B49</f>
        <v>V. Cheltuieli anterioare productiei</v>
      </c>
      <c r="C60" s="199">
        <f>E50</f>
        <v>400</v>
      </c>
      <c r="D60" s="50">
        <f>C60/C61</f>
        <v>1.0629816635663035E-2</v>
      </c>
      <c r="E60" t="s">
        <v>165</v>
      </c>
    </row>
    <row r="61" spans="2:9" ht="17.25" thickBot="1" x14ac:dyDescent="0.35">
      <c r="B61" s="44" t="s">
        <v>83</v>
      </c>
      <c r="C61" s="51">
        <f>SUM(C56:C60)</f>
        <v>37630</v>
      </c>
      <c r="D61" s="52">
        <v>1</v>
      </c>
      <c r="F61" s="8"/>
    </row>
    <row r="62" spans="2:9" ht="17.25" thickBot="1" x14ac:dyDescent="0.35"/>
    <row r="63" spans="2:9" ht="17.25" thickBot="1" x14ac:dyDescent="0.35">
      <c r="B63" s="12" t="s">
        <v>123</v>
      </c>
      <c r="C63" s="11" t="s">
        <v>75</v>
      </c>
      <c r="D63" s="11" t="s">
        <v>84</v>
      </c>
    </row>
    <row r="64" spans="2:9" ht="17.25" thickBot="1" x14ac:dyDescent="0.35">
      <c r="B64" s="13" t="s">
        <v>85</v>
      </c>
      <c r="C64" s="58"/>
      <c r="D64" s="58"/>
    </row>
    <row r="65" spans="1:14" ht="17.25" thickBot="1" x14ac:dyDescent="0.35">
      <c r="B65" s="56" t="s">
        <v>86</v>
      </c>
      <c r="C65" s="66">
        <v>178340</v>
      </c>
      <c r="D65" s="71">
        <v>1</v>
      </c>
      <c r="F65" s="8"/>
    </row>
    <row r="66" spans="1:14" ht="33.75" thickBot="1" x14ac:dyDescent="0.35">
      <c r="B66" s="56" t="s">
        <v>87</v>
      </c>
      <c r="C66" s="10">
        <v>0</v>
      </c>
      <c r="D66" s="45"/>
      <c r="F66" s="200"/>
    </row>
    <row r="67" spans="1:14" ht="17.25" thickBot="1" x14ac:dyDescent="0.35">
      <c r="B67" s="57" t="s">
        <v>88</v>
      </c>
      <c r="C67" s="10"/>
      <c r="D67" s="45"/>
    </row>
    <row r="68" spans="1:14" ht="33.75" thickBot="1" x14ac:dyDescent="0.35">
      <c r="B68" s="56" t="s">
        <v>89</v>
      </c>
      <c r="C68" s="66">
        <f>C61</f>
        <v>37630</v>
      </c>
      <c r="D68" s="67">
        <f>C68/C70</f>
        <v>0.2110014578894247</v>
      </c>
    </row>
    <row r="69" spans="1:14" ht="17.25" thickBot="1" x14ac:dyDescent="0.35">
      <c r="B69" s="56" t="s">
        <v>90</v>
      </c>
      <c r="C69" s="66">
        <f>C65-C68</f>
        <v>140710</v>
      </c>
      <c r="D69" s="67">
        <f>C69/C70</f>
        <v>0.7889985421105753</v>
      </c>
      <c r="I69" s="7"/>
      <c r="J69" s="7"/>
    </row>
    <row r="70" spans="1:14" ht="17.25" thickBot="1" x14ac:dyDescent="0.35">
      <c r="B70" s="13" t="s">
        <v>91</v>
      </c>
      <c r="C70" s="66">
        <v>178340</v>
      </c>
      <c r="D70" s="68"/>
      <c r="I70" s="7"/>
      <c r="J70" s="7"/>
    </row>
    <row r="71" spans="1:14" x14ac:dyDescent="0.3">
      <c r="D71" s="53"/>
      <c r="I71" s="14"/>
      <c r="J71" s="65"/>
      <c r="K71" s="65"/>
    </row>
    <row r="72" spans="1:14" x14ac:dyDescent="0.3">
      <c r="A72" s="7"/>
      <c r="B72" s="14"/>
      <c r="C72" s="7"/>
      <c r="D72" s="7"/>
      <c r="E72" s="7"/>
      <c r="F72" s="7"/>
      <c r="G72" s="7"/>
      <c r="H72" s="7"/>
      <c r="I72" s="7"/>
      <c r="J72" s="7"/>
      <c r="L72" s="7"/>
      <c r="M72" s="7"/>
      <c r="N72" s="7"/>
    </row>
    <row r="74" spans="1:14" x14ac:dyDescent="0.3">
      <c r="B74" s="59"/>
      <c r="C74" s="60"/>
      <c r="D74" s="60"/>
    </row>
    <row r="75" spans="1:14" x14ac:dyDescent="0.3">
      <c r="B75" s="61"/>
      <c r="C75" s="60"/>
      <c r="D75" s="62"/>
    </row>
    <row r="76" spans="1:14" x14ac:dyDescent="0.3">
      <c r="B76" s="63"/>
      <c r="C76" s="60"/>
      <c r="D76" s="60"/>
    </row>
    <row r="77" spans="1:14" x14ac:dyDescent="0.3">
      <c r="B77" s="63"/>
      <c r="C77" s="60"/>
      <c r="D77" s="60"/>
    </row>
    <row r="78" spans="1:14" x14ac:dyDescent="0.3">
      <c r="B78" s="64"/>
      <c r="C78" s="60"/>
      <c r="D78" s="62"/>
    </row>
    <row r="79" spans="1:14" x14ac:dyDescent="0.3">
      <c r="B79" s="63"/>
      <c r="C79" s="60"/>
      <c r="D79" s="60"/>
    </row>
    <row r="80" spans="1:14" x14ac:dyDescent="0.3">
      <c r="B80" s="63"/>
      <c r="C80" s="60"/>
      <c r="D80" s="60"/>
    </row>
    <row r="88" spans="2:2" x14ac:dyDescent="0.3">
      <c r="B88" s="7"/>
    </row>
    <row r="89" spans="2:2" x14ac:dyDescent="0.3">
      <c r="B89" s="7"/>
    </row>
    <row r="90" spans="2:2" x14ac:dyDescent="0.3">
      <c r="B90" s="7"/>
    </row>
    <row r="91" spans="2:2" x14ac:dyDescent="0.3">
      <c r="B91" s="7"/>
    </row>
    <row r="92" spans="2:2" x14ac:dyDescent="0.3">
      <c r="B92" s="7"/>
    </row>
    <row r="93" spans="2:2" x14ac:dyDescent="0.3">
      <c r="B93" s="7"/>
    </row>
    <row r="94" spans="2:2" x14ac:dyDescent="0.3">
      <c r="B94" s="7"/>
    </row>
    <row r="95" spans="2:2" x14ac:dyDescent="0.3">
      <c r="B95" s="7"/>
    </row>
    <row r="96" spans="2:2" x14ac:dyDescent="0.3">
      <c r="B96" s="7"/>
    </row>
    <row r="97" spans="2:2" x14ac:dyDescent="0.3">
      <c r="B97" s="7"/>
    </row>
  </sheetData>
  <mergeCells count="7">
    <mergeCell ref="B24:F24"/>
    <mergeCell ref="B4:F4"/>
    <mergeCell ref="K3:S3"/>
    <mergeCell ref="F17:F20"/>
    <mergeCell ref="F41:F47"/>
    <mergeCell ref="F5:F10"/>
    <mergeCell ref="F12:F16"/>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E74"/>
  <sheetViews>
    <sheetView topLeftCell="J1" zoomScale="80" zoomScaleNormal="80" workbookViewId="0">
      <selection activeCell="B3" sqref="B3:Q11"/>
    </sheetView>
  </sheetViews>
  <sheetFormatPr defaultRowHeight="15" outlineLevelCol="1" x14ac:dyDescent="0.25"/>
  <cols>
    <col min="2" max="2" width="5.85546875" customWidth="1"/>
    <col min="3" max="3" width="27.28515625" customWidth="1"/>
    <col min="4" max="4" width="10.42578125" customWidth="1" outlineLevel="1"/>
    <col min="5" max="5" width="9.85546875" customWidth="1" outlineLevel="1"/>
    <col min="6" max="6" width="10.28515625" customWidth="1" outlineLevel="1"/>
    <col min="7" max="9" width="9.5703125" customWidth="1" outlineLevel="1"/>
    <col min="10" max="10" width="14.42578125" customWidth="1" outlineLevel="1"/>
    <col min="11" max="13" width="9.7109375" customWidth="1"/>
    <col min="14" max="14" width="10.140625" customWidth="1"/>
    <col min="15" max="17" width="9.85546875" bestFit="1" customWidth="1"/>
  </cols>
  <sheetData>
    <row r="1" spans="2:31" ht="16.5" x14ac:dyDescent="0.25">
      <c r="S1" s="97"/>
    </row>
    <row r="2" spans="2:31" ht="16.5" x14ac:dyDescent="0.3">
      <c r="I2" s="7"/>
      <c r="J2" s="7"/>
      <c r="K2" s="7"/>
      <c r="L2" s="7"/>
      <c r="M2" s="7"/>
      <c r="S2" s="97"/>
    </row>
    <row r="3" spans="2:31" ht="17.25" thickBot="1" x14ac:dyDescent="0.35">
      <c r="B3" s="460" t="s">
        <v>145</v>
      </c>
      <c r="C3" s="460"/>
      <c r="D3" s="460"/>
      <c r="E3" s="460"/>
      <c r="F3" s="460"/>
      <c r="G3" s="460"/>
      <c r="H3" s="460"/>
      <c r="I3" s="460"/>
      <c r="J3" s="461"/>
      <c r="K3" s="460"/>
      <c r="L3" s="460"/>
      <c r="M3" s="460"/>
      <c r="N3" s="460"/>
      <c r="O3" s="7"/>
      <c r="S3" s="97"/>
    </row>
    <row r="4" spans="2:31" ht="16.5" x14ac:dyDescent="0.3">
      <c r="B4" s="465" t="s">
        <v>169</v>
      </c>
      <c r="C4" s="466"/>
      <c r="D4" s="466" t="s">
        <v>124</v>
      </c>
      <c r="E4" s="466"/>
      <c r="F4" s="466"/>
      <c r="G4" s="466"/>
      <c r="H4" s="466"/>
      <c r="I4" s="469"/>
      <c r="J4" s="462" t="s">
        <v>257</v>
      </c>
      <c r="K4" s="470" t="s">
        <v>125</v>
      </c>
      <c r="L4" s="471"/>
      <c r="M4" s="471"/>
      <c r="N4" s="472"/>
      <c r="O4" s="463" t="s">
        <v>163</v>
      </c>
      <c r="P4" s="455" t="s">
        <v>259</v>
      </c>
      <c r="Q4" s="457" t="s">
        <v>260</v>
      </c>
      <c r="R4" s="454"/>
      <c r="S4" s="7"/>
      <c r="T4" s="97"/>
      <c r="V4" s="443" t="s">
        <v>144</v>
      </c>
      <c r="W4" s="443"/>
      <c r="X4" s="443"/>
      <c r="Y4" s="443"/>
      <c r="Z4" s="443"/>
      <c r="AA4" s="443"/>
      <c r="AB4" s="443"/>
      <c r="AC4" s="443"/>
      <c r="AD4" s="443"/>
      <c r="AE4" s="443"/>
    </row>
    <row r="5" spans="2:31" ht="15" customHeight="1" thickBot="1" x14ac:dyDescent="0.35">
      <c r="B5" s="467"/>
      <c r="C5" s="468"/>
      <c r="D5" s="206" t="s">
        <v>138</v>
      </c>
      <c r="E5" s="206" t="s">
        <v>139</v>
      </c>
      <c r="F5" s="206" t="s">
        <v>140</v>
      </c>
      <c r="G5" s="206" t="s">
        <v>141</v>
      </c>
      <c r="H5" s="206" t="s">
        <v>142</v>
      </c>
      <c r="I5" s="208" t="s">
        <v>258</v>
      </c>
      <c r="J5" s="454"/>
      <c r="K5" s="152" t="str">
        <f>D5</f>
        <v>an 1 trim 1</v>
      </c>
      <c r="L5" s="153" t="str">
        <f>E5</f>
        <v>an 1 trim 2</v>
      </c>
      <c r="M5" s="153" t="str">
        <f>F5</f>
        <v>an 1 trim 3</v>
      </c>
      <c r="N5" s="151" t="str">
        <f>G5</f>
        <v>an 1 trim 4</v>
      </c>
      <c r="O5" s="464"/>
      <c r="P5" s="456"/>
      <c r="Q5" s="458"/>
      <c r="R5" s="454"/>
      <c r="S5" s="7"/>
      <c r="T5" s="97"/>
      <c r="V5" s="140"/>
      <c r="W5" s="140" t="s">
        <v>158</v>
      </c>
      <c r="X5" s="140" t="s">
        <v>159</v>
      </c>
      <c r="Y5" s="140" t="s">
        <v>160</v>
      </c>
      <c r="Z5" s="140" t="s">
        <v>161</v>
      </c>
      <c r="AA5" s="140" t="s">
        <v>282</v>
      </c>
      <c r="AB5" s="140" t="s">
        <v>266</v>
      </c>
      <c r="AC5" s="140"/>
      <c r="AD5" s="140"/>
      <c r="AE5" s="146"/>
    </row>
    <row r="6" spans="2:31" ht="35.1" customHeight="1" x14ac:dyDescent="0.3">
      <c r="B6" s="96">
        <v>1</v>
      </c>
      <c r="C6" s="207" t="s">
        <v>290</v>
      </c>
      <c r="D6" s="113"/>
      <c r="E6" s="113">
        <f>100*3</f>
        <v>300</v>
      </c>
      <c r="F6" s="113">
        <f>200*3</f>
        <v>600</v>
      </c>
      <c r="G6" s="113">
        <f>F6</f>
        <v>600</v>
      </c>
      <c r="H6" s="113">
        <f>E6*4</f>
        <v>1200</v>
      </c>
      <c r="I6" s="209">
        <f>F6*4</f>
        <v>2400</v>
      </c>
      <c r="J6" s="203">
        <v>50</v>
      </c>
      <c r="K6" s="157">
        <f>D6*J6</f>
        <v>0</v>
      </c>
      <c r="L6" s="158">
        <f>E6*J6</f>
        <v>15000</v>
      </c>
      <c r="M6" s="158">
        <f>F6*J6</f>
        <v>30000</v>
      </c>
      <c r="N6" s="158">
        <f>G6*J6</f>
        <v>30000</v>
      </c>
      <c r="O6" s="159">
        <f>SUM(K6:N6)</f>
        <v>75000</v>
      </c>
      <c r="P6" s="160">
        <f>H6*J6</f>
        <v>60000</v>
      </c>
      <c r="Q6" s="160">
        <f>I6*J6</f>
        <v>120000</v>
      </c>
      <c r="R6" s="98">
        <f>O6/O10</f>
        <v>0.19736842105263158</v>
      </c>
      <c r="S6" s="98"/>
      <c r="T6" s="98"/>
      <c r="U6" s="140"/>
      <c r="V6" s="140" t="str">
        <f>C6</f>
        <v>vanzari  produse pentru animale de companie</v>
      </c>
      <c r="W6" s="143">
        <f>K6</f>
        <v>0</v>
      </c>
      <c r="X6" s="143">
        <f t="shared" ref="X6:AB8" si="0">L6</f>
        <v>15000</v>
      </c>
      <c r="Y6" s="143">
        <f t="shared" si="0"/>
        <v>30000</v>
      </c>
      <c r="Z6" s="143">
        <f t="shared" si="0"/>
        <v>30000</v>
      </c>
      <c r="AA6" s="143">
        <f t="shared" si="0"/>
        <v>75000</v>
      </c>
      <c r="AB6" s="143">
        <f t="shared" si="0"/>
        <v>60000</v>
      </c>
      <c r="AC6" s="147"/>
      <c r="AD6" s="147"/>
    </row>
    <row r="7" spans="2:31" ht="36.6" customHeight="1" x14ac:dyDescent="0.3">
      <c r="B7" s="96">
        <v>2</v>
      </c>
      <c r="C7" s="207" t="s">
        <v>291</v>
      </c>
      <c r="D7" s="113"/>
      <c r="E7" s="113">
        <f>100*3</f>
        <v>300</v>
      </c>
      <c r="F7" s="113">
        <f>300*3</f>
        <v>900</v>
      </c>
      <c r="G7" s="113">
        <v>400</v>
      </c>
      <c r="H7" s="113">
        <v>2000</v>
      </c>
      <c r="I7" s="209">
        <f>H7</f>
        <v>2000</v>
      </c>
      <c r="J7" s="204">
        <v>150</v>
      </c>
      <c r="K7" s="157">
        <f>D7*$J$7</f>
        <v>0</v>
      </c>
      <c r="L7" s="158">
        <f t="shared" ref="L7:L8" si="1">E7*J7</f>
        <v>45000</v>
      </c>
      <c r="M7" s="158">
        <f t="shared" ref="M7:M8" si="2">F7*J7</f>
        <v>135000</v>
      </c>
      <c r="N7" s="158">
        <f t="shared" ref="N7:N8" si="3">G7*J7</f>
        <v>60000</v>
      </c>
      <c r="O7" s="159">
        <f t="shared" ref="O7:O8" si="4">SUM(K7:N7)</f>
        <v>240000</v>
      </c>
      <c r="P7" s="160">
        <f t="shared" ref="P7:P8" si="5">H7*J7</f>
        <v>300000</v>
      </c>
      <c r="Q7" s="160">
        <f t="shared" ref="Q7:Q8" si="6">I7*J7</f>
        <v>300000</v>
      </c>
      <c r="R7" s="98">
        <f>O7/O10</f>
        <v>0.63157894736842102</v>
      </c>
      <c r="S7" s="98"/>
      <c r="T7" s="98"/>
      <c r="U7" s="106"/>
      <c r="V7" s="140" t="str">
        <f>C7</f>
        <v>vanzari produse si  unelte  de gradinarit</v>
      </c>
      <c r="W7" s="143">
        <f t="shared" ref="W7:W8" si="7">K7</f>
        <v>0</v>
      </c>
      <c r="X7" s="143">
        <f t="shared" si="0"/>
        <v>45000</v>
      </c>
      <c r="Y7" s="143">
        <f t="shared" si="0"/>
        <v>135000</v>
      </c>
      <c r="Z7" s="143">
        <f t="shared" si="0"/>
        <v>60000</v>
      </c>
      <c r="AA7" s="143">
        <f t="shared" si="0"/>
        <v>240000</v>
      </c>
      <c r="AB7" s="143">
        <f t="shared" si="0"/>
        <v>300000</v>
      </c>
      <c r="AC7" s="147"/>
      <c r="AD7" s="147"/>
    </row>
    <row r="8" spans="2:31" ht="33.6" customHeight="1" x14ac:dyDescent="0.3">
      <c r="B8" s="256">
        <v>3</v>
      </c>
      <c r="C8" s="207" t="s">
        <v>292</v>
      </c>
      <c r="D8" s="257"/>
      <c r="E8" s="257">
        <f>100*3</f>
        <v>300</v>
      </c>
      <c r="F8" s="257">
        <f>200*3</f>
        <v>600</v>
      </c>
      <c r="G8" s="257">
        <v>400</v>
      </c>
      <c r="H8" s="113">
        <f t="shared" ref="H8" si="8">E8*4</f>
        <v>1200</v>
      </c>
      <c r="I8" s="209">
        <f>G8*4</f>
        <v>1600</v>
      </c>
      <c r="J8" s="205">
        <v>50</v>
      </c>
      <c r="K8" s="157"/>
      <c r="L8" s="158">
        <f t="shared" si="1"/>
        <v>15000</v>
      </c>
      <c r="M8" s="158">
        <f t="shared" si="2"/>
        <v>30000</v>
      </c>
      <c r="N8" s="158">
        <f t="shared" si="3"/>
        <v>20000</v>
      </c>
      <c r="O8" s="159">
        <f t="shared" si="4"/>
        <v>65000</v>
      </c>
      <c r="P8" s="160">
        <f t="shared" si="5"/>
        <v>60000</v>
      </c>
      <c r="Q8" s="160">
        <f t="shared" si="6"/>
        <v>80000</v>
      </c>
      <c r="R8" s="98"/>
      <c r="S8" s="98"/>
      <c r="T8" s="98"/>
      <c r="U8" s="106"/>
      <c r="V8" s="140" t="str">
        <f>C8</f>
        <v>vanzari produse  de fito-farmacie</v>
      </c>
      <c r="W8" s="143">
        <f t="shared" si="7"/>
        <v>0</v>
      </c>
      <c r="X8" s="143">
        <f t="shared" si="0"/>
        <v>15000</v>
      </c>
      <c r="Y8" s="143">
        <f t="shared" si="0"/>
        <v>30000</v>
      </c>
      <c r="Z8" s="143">
        <f t="shared" si="0"/>
        <v>20000</v>
      </c>
      <c r="AA8" s="143">
        <f t="shared" si="0"/>
        <v>65000</v>
      </c>
      <c r="AB8" s="143">
        <f t="shared" si="0"/>
        <v>60000</v>
      </c>
      <c r="AC8" s="147"/>
      <c r="AD8" s="147"/>
    </row>
    <row r="9" spans="2:31" ht="33" customHeight="1" thickBot="1" x14ac:dyDescent="0.35">
      <c r="B9" s="110"/>
      <c r="C9" s="210"/>
      <c r="D9" s="114"/>
      <c r="E9" s="114"/>
      <c r="F9" s="114"/>
      <c r="G9" s="114"/>
      <c r="H9" s="113"/>
      <c r="I9" s="209"/>
      <c r="J9" s="205"/>
      <c r="K9" s="157"/>
      <c r="L9" s="158"/>
      <c r="M9" s="158"/>
      <c r="N9" s="158"/>
      <c r="O9" s="159"/>
      <c r="P9" s="160"/>
      <c r="Q9" s="160"/>
      <c r="R9" s="98"/>
      <c r="S9" s="98"/>
      <c r="T9" s="98"/>
      <c r="U9" s="106"/>
      <c r="V9" s="140"/>
      <c r="W9" s="143"/>
      <c r="X9" s="143"/>
      <c r="Y9" s="143"/>
      <c r="Z9" s="143"/>
      <c r="AA9" s="143"/>
      <c r="AB9" s="143"/>
      <c r="AC9" s="147"/>
      <c r="AD9" s="147"/>
    </row>
    <row r="10" spans="2:31" ht="16.5" x14ac:dyDescent="0.3">
      <c r="B10" s="448" t="s">
        <v>126</v>
      </c>
      <c r="C10" s="449"/>
      <c r="D10" s="449"/>
      <c r="E10" s="449"/>
      <c r="F10" s="449"/>
      <c r="G10" s="449"/>
      <c r="H10" s="449"/>
      <c r="I10" s="450"/>
      <c r="J10" s="155" t="s">
        <v>127</v>
      </c>
      <c r="K10" s="161">
        <f t="shared" ref="K10:Q10" si="9">SUM(K6:K9)</f>
        <v>0</v>
      </c>
      <c r="L10" s="161">
        <f t="shared" si="9"/>
        <v>75000</v>
      </c>
      <c r="M10" s="161">
        <f t="shared" si="9"/>
        <v>195000</v>
      </c>
      <c r="N10" s="161">
        <f t="shared" si="9"/>
        <v>110000</v>
      </c>
      <c r="O10" s="156">
        <f t="shared" si="9"/>
        <v>380000</v>
      </c>
      <c r="P10" s="156">
        <f t="shared" si="9"/>
        <v>420000</v>
      </c>
      <c r="Q10" s="156">
        <f t="shared" si="9"/>
        <v>500000</v>
      </c>
      <c r="R10" s="150"/>
      <c r="S10" s="98"/>
      <c r="T10" s="98"/>
      <c r="U10" s="106"/>
      <c r="V10" s="106"/>
      <c r="W10" s="143"/>
      <c r="X10" s="163"/>
      <c r="Y10" s="143"/>
      <c r="Z10" s="163"/>
      <c r="AA10" s="143"/>
      <c r="AB10" s="140"/>
      <c r="AC10" s="15"/>
      <c r="AD10" s="98"/>
    </row>
    <row r="11" spans="2:31" ht="30.6" customHeight="1" thickBot="1" x14ac:dyDescent="0.35">
      <c r="B11" s="445" t="s">
        <v>137</v>
      </c>
      <c r="C11" s="446"/>
      <c r="D11" s="446"/>
      <c r="E11" s="446"/>
      <c r="F11" s="446"/>
      <c r="G11" s="446"/>
      <c r="H11" s="446"/>
      <c r="I11" s="447"/>
      <c r="J11" s="155">
        <v>4.4584999999999999</v>
      </c>
      <c r="K11" s="162">
        <f t="shared" ref="K11:Q11" si="10">K10/$J$11</f>
        <v>0</v>
      </c>
      <c r="L11" s="162">
        <f t="shared" si="10"/>
        <v>16821.801054166201</v>
      </c>
      <c r="M11" s="162">
        <f t="shared" si="10"/>
        <v>43736.682740832119</v>
      </c>
      <c r="N11" s="162">
        <f t="shared" si="10"/>
        <v>24671.974879443758</v>
      </c>
      <c r="O11" s="162">
        <f t="shared" si="10"/>
        <v>85230.458674442081</v>
      </c>
      <c r="P11" s="162">
        <f t="shared" si="10"/>
        <v>94202.085903330721</v>
      </c>
      <c r="Q11" s="162">
        <f t="shared" si="10"/>
        <v>112145.340361108</v>
      </c>
      <c r="R11" s="150">
        <f>P11+Q11+Q11+Q11</f>
        <v>430638.10698665475</v>
      </c>
      <c r="S11" s="98"/>
      <c r="T11" s="98"/>
      <c r="U11" s="452"/>
      <c r="V11" s="452"/>
      <c r="W11" s="143"/>
      <c r="X11" s="163"/>
      <c r="Y11" s="143"/>
      <c r="Z11" s="163"/>
      <c r="AA11" s="143"/>
      <c r="AB11" s="144"/>
      <c r="AC11" s="15"/>
      <c r="AD11" s="145"/>
    </row>
    <row r="12" spans="2:31" ht="16.5" x14ac:dyDescent="0.3">
      <c r="O12" s="15"/>
    </row>
    <row r="13" spans="2:31" ht="16.5" x14ac:dyDescent="0.25">
      <c r="B13" s="451"/>
      <c r="C13" s="451"/>
      <c r="D13" s="166"/>
      <c r="E13" s="167"/>
      <c r="F13" s="167"/>
      <c r="G13" s="167"/>
      <c r="H13" s="167"/>
      <c r="I13" s="167"/>
      <c r="J13" s="167"/>
      <c r="K13" s="167"/>
      <c r="L13" s="167"/>
      <c r="M13" s="167"/>
      <c r="N13" s="167"/>
      <c r="O13" s="212">
        <f>O6/$O$10</f>
        <v>0.19736842105263158</v>
      </c>
      <c r="P13" s="167"/>
      <c r="Q13" s="167"/>
    </row>
    <row r="14" spans="2:31" ht="16.5" x14ac:dyDescent="0.3">
      <c r="B14" s="444"/>
      <c r="C14" s="444"/>
      <c r="D14" s="452"/>
      <c r="E14" s="452"/>
      <c r="F14" s="452"/>
      <c r="G14" s="452"/>
      <c r="H14" s="452"/>
      <c r="I14" s="452"/>
      <c r="J14" s="452"/>
      <c r="K14" s="140"/>
      <c r="L14" s="140"/>
      <c r="M14" s="140"/>
      <c r="N14" s="452"/>
      <c r="O14" s="212">
        <f>O7/$O$10</f>
        <v>0.63157894736842102</v>
      </c>
      <c r="P14" s="211"/>
      <c r="Q14" s="211"/>
      <c r="T14" s="104"/>
      <c r="V14" s="105"/>
      <c r="W14" s="164"/>
      <c r="X14" s="164"/>
      <c r="Y14" s="149"/>
      <c r="Z14" s="149"/>
      <c r="AC14" s="7"/>
      <c r="AD14" s="7"/>
    </row>
    <row r="15" spans="2:31" ht="16.5" x14ac:dyDescent="0.3">
      <c r="B15" s="444"/>
      <c r="C15" s="444"/>
      <c r="D15" s="140"/>
      <c r="E15" s="153"/>
      <c r="F15" s="153"/>
      <c r="G15" s="153"/>
      <c r="H15" s="153"/>
      <c r="I15" s="153"/>
      <c r="J15" s="452"/>
      <c r="K15" s="140"/>
      <c r="L15" s="140"/>
      <c r="M15" s="140"/>
      <c r="N15" s="452"/>
      <c r="O15" s="212">
        <f>O9/$O$10</f>
        <v>0</v>
      </c>
      <c r="P15" s="65"/>
      <c r="Q15" s="65"/>
      <c r="T15" s="106"/>
      <c r="V15" s="106"/>
      <c r="W15" s="147"/>
      <c r="X15" s="147"/>
      <c r="Y15" s="15"/>
      <c r="Z15" s="15"/>
      <c r="AB15" s="7"/>
      <c r="AC15" s="98"/>
      <c r="AD15" s="98"/>
    </row>
    <row r="16" spans="2:31" ht="16.5" x14ac:dyDescent="0.3">
      <c r="B16" s="7"/>
      <c r="C16" s="168"/>
      <c r="D16" s="143"/>
      <c r="E16" s="143"/>
      <c r="F16" s="143"/>
      <c r="G16" s="143"/>
      <c r="H16" s="143"/>
      <c r="I16" s="143"/>
      <c r="J16" s="140"/>
      <c r="K16" s="140"/>
      <c r="L16" s="140"/>
      <c r="M16" s="140"/>
      <c r="N16" s="143"/>
      <c r="O16" s="167">
        <f>O10/$O$10</f>
        <v>1</v>
      </c>
      <c r="P16" s="147"/>
      <c r="Q16" s="147"/>
      <c r="T16" s="106"/>
      <c r="V16" s="106"/>
      <c r="W16" s="147"/>
      <c r="X16" s="147"/>
      <c r="Y16" s="15"/>
      <c r="Z16" s="15"/>
      <c r="AB16" s="7"/>
      <c r="AC16" s="98"/>
      <c r="AD16" s="98"/>
    </row>
    <row r="17" spans="2:30" ht="16.5" x14ac:dyDescent="0.3">
      <c r="B17" s="7"/>
      <c r="C17" s="168"/>
      <c r="D17" s="143"/>
      <c r="E17" s="143"/>
      <c r="F17" s="143"/>
      <c r="G17" s="143"/>
      <c r="H17" s="143"/>
      <c r="I17" s="143"/>
      <c r="J17" s="140"/>
      <c r="K17" s="140"/>
      <c r="L17" s="140"/>
      <c r="M17" s="140"/>
      <c r="N17" s="143"/>
      <c r="O17" s="167"/>
      <c r="P17" s="147"/>
      <c r="Q17" s="147"/>
      <c r="T17" s="106"/>
      <c r="V17" s="106"/>
      <c r="W17" s="165"/>
      <c r="X17" s="165"/>
      <c r="Y17" s="108"/>
      <c r="Z17" s="108"/>
      <c r="AB17" s="7"/>
      <c r="AC17" s="98"/>
      <c r="AD17" s="98"/>
    </row>
    <row r="18" spans="2:30" ht="16.5" x14ac:dyDescent="0.3">
      <c r="B18" s="7"/>
      <c r="C18" s="169"/>
      <c r="D18" s="170"/>
      <c r="E18" s="170"/>
      <c r="F18" s="170"/>
      <c r="G18" s="170"/>
      <c r="H18" s="170"/>
      <c r="I18" s="170"/>
      <c r="J18" s="108"/>
      <c r="K18" s="108"/>
      <c r="L18" s="108"/>
      <c r="M18" s="108"/>
      <c r="N18" s="108"/>
      <c r="O18" s="108"/>
      <c r="P18" s="108"/>
      <c r="Q18" s="108"/>
      <c r="T18" s="106"/>
      <c r="U18" s="107"/>
      <c r="V18" s="7"/>
      <c r="W18" s="147"/>
      <c r="X18" s="147"/>
      <c r="Y18" s="15"/>
      <c r="Z18" s="15"/>
    </row>
    <row r="19" spans="2:30" ht="16.5" x14ac:dyDescent="0.3">
      <c r="B19" s="7"/>
      <c r="C19" s="171"/>
      <c r="D19" s="170"/>
      <c r="E19" s="170"/>
      <c r="F19" s="170"/>
      <c r="G19" s="170"/>
      <c r="H19" s="170"/>
      <c r="I19" s="170"/>
      <c r="J19" s="108"/>
      <c r="K19" s="108"/>
      <c r="L19" s="108"/>
      <c r="M19" s="108"/>
      <c r="N19" s="108"/>
      <c r="O19" s="108"/>
      <c r="P19" s="108"/>
      <c r="Q19" s="108"/>
      <c r="T19" s="106"/>
      <c r="U19" s="107"/>
      <c r="V19" s="7"/>
      <c r="W19" s="7"/>
      <c r="X19" s="7"/>
    </row>
    <row r="20" spans="2:30" ht="16.5" x14ac:dyDescent="0.3">
      <c r="B20" s="7"/>
      <c r="C20" s="172"/>
      <c r="D20" s="170"/>
      <c r="E20" s="170"/>
      <c r="F20" s="170"/>
      <c r="G20" s="170"/>
      <c r="H20" s="170"/>
      <c r="I20" s="170"/>
      <c r="J20" s="108"/>
      <c r="K20" s="108"/>
      <c r="L20" s="108"/>
      <c r="M20" s="108"/>
      <c r="N20" s="108"/>
      <c r="O20" s="108"/>
      <c r="P20" s="108"/>
      <c r="Q20" s="108"/>
      <c r="T20" s="106"/>
      <c r="U20" s="107"/>
      <c r="V20" s="7"/>
      <c r="W20" s="7"/>
      <c r="X20" s="7"/>
    </row>
    <row r="21" spans="2:30" ht="16.5" x14ac:dyDescent="0.3">
      <c r="B21" s="7"/>
      <c r="C21" s="172"/>
      <c r="D21" s="170"/>
      <c r="E21" s="170"/>
      <c r="F21" s="170"/>
      <c r="G21" s="170"/>
      <c r="H21" s="170"/>
      <c r="I21" s="170"/>
      <c r="J21" s="108"/>
      <c r="K21" s="108"/>
      <c r="L21" s="108"/>
      <c r="M21" s="108"/>
      <c r="N21" s="7"/>
      <c r="O21" s="108"/>
      <c r="P21" s="108"/>
      <c r="Q21" s="108"/>
      <c r="T21" s="106"/>
      <c r="U21" s="107"/>
      <c r="V21" s="7"/>
      <c r="W21" s="7"/>
      <c r="X21" s="7"/>
    </row>
    <row r="22" spans="2:30" ht="16.5" x14ac:dyDescent="0.3">
      <c r="B22" s="7"/>
      <c r="C22" s="173"/>
      <c r="D22" s="174"/>
      <c r="E22" s="174"/>
      <c r="F22" s="174"/>
      <c r="G22" s="174"/>
      <c r="H22" s="174"/>
      <c r="I22" s="172"/>
      <c r="J22" s="108"/>
      <c r="K22" s="108"/>
      <c r="L22" s="108"/>
      <c r="M22" s="108"/>
      <c r="N22" s="175"/>
      <c r="O22" s="175"/>
      <c r="P22" s="175"/>
      <c r="Q22" s="175"/>
      <c r="T22" s="105"/>
      <c r="U22" s="105"/>
      <c r="V22" s="7"/>
      <c r="W22" s="7"/>
      <c r="X22" s="7"/>
    </row>
    <row r="23" spans="2:30" ht="16.5" x14ac:dyDescent="0.3">
      <c r="B23" s="453"/>
      <c r="C23" s="453"/>
      <c r="D23" s="176"/>
      <c r="E23" s="176"/>
      <c r="F23" s="176"/>
      <c r="G23" s="176"/>
      <c r="H23" s="176"/>
      <c r="I23" s="176"/>
      <c r="J23" s="176"/>
      <c r="K23" s="176"/>
      <c r="L23" s="176"/>
      <c r="M23" s="176"/>
      <c r="N23" s="176"/>
      <c r="O23" s="176"/>
      <c r="P23" s="176"/>
      <c r="Q23" s="176"/>
      <c r="T23" s="106"/>
      <c r="U23" s="106"/>
      <c r="V23" s="7"/>
      <c r="W23" s="7"/>
      <c r="X23" s="7"/>
    </row>
    <row r="24" spans="2:30" ht="16.5" x14ac:dyDescent="0.3">
      <c r="B24" s="7"/>
      <c r="C24" s="172"/>
      <c r="D24" s="177"/>
      <c r="E24" s="177"/>
      <c r="F24" s="177"/>
      <c r="G24" s="177"/>
      <c r="H24" s="177"/>
      <c r="I24" s="177"/>
      <c r="J24" s="108"/>
      <c r="K24" s="108"/>
      <c r="L24" s="108"/>
      <c r="M24" s="108"/>
      <c r="N24" s="108"/>
      <c r="O24" s="108"/>
      <c r="P24" s="108"/>
      <c r="Q24" s="108"/>
      <c r="T24" s="106"/>
      <c r="U24" s="106"/>
      <c r="V24" s="7"/>
      <c r="W24" s="65"/>
      <c r="X24" s="65"/>
      <c r="Y24" s="65"/>
      <c r="Z24" s="65"/>
    </row>
    <row r="25" spans="2:30" ht="16.5" x14ac:dyDescent="0.3">
      <c r="B25" s="7"/>
      <c r="C25" s="172"/>
      <c r="D25" s="172"/>
      <c r="E25" s="172"/>
      <c r="F25" s="172"/>
      <c r="G25" s="172"/>
      <c r="H25" s="172"/>
      <c r="I25" s="172"/>
      <c r="J25" s="108"/>
      <c r="K25" s="108"/>
      <c r="L25" s="108"/>
      <c r="M25" s="108"/>
      <c r="N25" s="108"/>
      <c r="O25" s="108"/>
      <c r="P25" s="108"/>
      <c r="Q25" s="108"/>
      <c r="T25" s="106"/>
      <c r="U25" s="106"/>
      <c r="V25" s="106"/>
      <c r="W25" s="15"/>
      <c r="X25" s="15"/>
      <c r="Y25" s="15"/>
      <c r="Z25" s="15"/>
      <c r="AA25" s="15"/>
      <c r="AB25" s="15"/>
      <c r="AC25" s="15"/>
    </row>
    <row r="26" spans="2:30" ht="16.5" x14ac:dyDescent="0.3">
      <c r="B26" s="7"/>
      <c r="C26" s="172"/>
      <c r="D26" s="172"/>
      <c r="E26" s="172"/>
      <c r="F26" s="172"/>
      <c r="G26" s="172"/>
      <c r="H26" s="172"/>
      <c r="I26" s="172"/>
      <c r="J26" s="108"/>
      <c r="K26" s="108"/>
      <c r="L26" s="108"/>
      <c r="M26" s="108"/>
      <c r="N26" s="108"/>
      <c r="O26" s="108"/>
      <c r="P26" s="108"/>
      <c r="Q26" s="108"/>
      <c r="R26" s="9">
        <v>0</v>
      </c>
      <c r="T26" s="106"/>
      <c r="U26" s="106"/>
      <c r="V26" s="106"/>
      <c r="W26" s="15"/>
      <c r="X26" s="15"/>
      <c r="Y26" s="15"/>
      <c r="Z26" s="15"/>
      <c r="AA26" s="15"/>
      <c r="AB26" s="15"/>
      <c r="AC26" s="15"/>
    </row>
    <row r="27" spans="2:30" ht="16.5" x14ac:dyDescent="0.3">
      <c r="B27" s="7"/>
      <c r="C27" s="178"/>
      <c r="D27" s="172"/>
      <c r="E27" s="172"/>
      <c r="F27" s="172"/>
      <c r="G27" s="172"/>
      <c r="H27" s="172"/>
      <c r="I27" s="172"/>
      <c r="J27" s="108"/>
      <c r="K27" s="108"/>
      <c r="L27" s="108"/>
      <c r="M27" s="108"/>
      <c r="N27" s="108"/>
      <c r="O27" s="108"/>
      <c r="P27" s="108"/>
      <c r="Q27" s="108"/>
      <c r="T27" s="106"/>
      <c r="U27" s="106"/>
      <c r="V27" s="98"/>
      <c r="W27" s="98"/>
      <c r="X27" s="98"/>
      <c r="Y27" s="98"/>
      <c r="Z27" s="98"/>
      <c r="AA27" s="98"/>
      <c r="AB27" s="98"/>
      <c r="AC27" s="98"/>
    </row>
    <row r="28" spans="2:30" ht="16.5" x14ac:dyDescent="0.3">
      <c r="B28" s="7"/>
      <c r="C28" s="171"/>
      <c r="D28" s="172"/>
      <c r="E28" s="172"/>
      <c r="F28" s="172"/>
      <c r="G28" s="172"/>
      <c r="H28" s="172"/>
      <c r="I28" s="172"/>
      <c r="J28" s="108"/>
      <c r="K28" s="108"/>
      <c r="L28" s="108"/>
      <c r="M28" s="108"/>
      <c r="N28" s="108"/>
      <c r="O28" s="108"/>
      <c r="P28" s="108"/>
      <c r="Q28" s="108"/>
      <c r="T28" s="104"/>
      <c r="U28" s="106"/>
      <c r="V28" s="7"/>
      <c r="W28" s="7"/>
      <c r="X28" s="7"/>
    </row>
    <row r="29" spans="2:30" ht="16.5" x14ac:dyDescent="0.3">
      <c r="B29" s="7"/>
      <c r="C29" s="106"/>
      <c r="D29" s="172"/>
      <c r="E29" s="172"/>
      <c r="F29" s="172"/>
      <c r="G29" s="172"/>
      <c r="H29" s="172"/>
      <c r="I29" s="172"/>
      <c r="J29" s="108"/>
      <c r="K29" s="108"/>
      <c r="L29" s="108"/>
      <c r="M29" s="108"/>
      <c r="N29" s="108"/>
      <c r="O29" s="108"/>
      <c r="P29" s="108"/>
      <c r="Q29" s="108"/>
      <c r="T29" s="104"/>
      <c r="U29" s="106"/>
      <c r="V29" s="7"/>
      <c r="W29" s="7"/>
      <c r="X29" s="7"/>
    </row>
    <row r="30" spans="2:30" ht="16.5" x14ac:dyDescent="0.3">
      <c r="B30" s="7"/>
      <c r="C30" s="106"/>
      <c r="D30" s="172"/>
      <c r="E30" s="172"/>
      <c r="F30" s="172"/>
      <c r="G30" s="172"/>
      <c r="H30" s="172"/>
      <c r="I30" s="172"/>
      <c r="J30" s="108"/>
      <c r="K30" s="108"/>
      <c r="L30" s="108"/>
      <c r="M30" s="108"/>
      <c r="N30" s="108"/>
      <c r="O30" s="108"/>
      <c r="P30" s="108"/>
      <c r="Q30" s="108"/>
      <c r="T30" s="104"/>
      <c r="U30" s="106"/>
      <c r="V30" s="7"/>
      <c r="W30" s="7"/>
      <c r="X30" s="7"/>
    </row>
    <row r="31" spans="2:30" ht="16.5" x14ac:dyDescent="0.3">
      <c r="B31" s="7"/>
      <c r="C31" s="172"/>
      <c r="D31" s="172"/>
      <c r="E31" s="172"/>
      <c r="F31" s="172"/>
      <c r="G31" s="172"/>
      <c r="H31" s="172"/>
      <c r="I31" s="172"/>
      <c r="J31" s="108"/>
      <c r="K31" s="108"/>
      <c r="L31" s="108"/>
      <c r="M31" s="108"/>
      <c r="N31" s="108"/>
      <c r="O31" s="108"/>
      <c r="P31" s="108"/>
      <c r="Q31" s="108"/>
      <c r="T31" s="104"/>
      <c r="U31" s="106"/>
      <c r="V31" s="7"/>
      <c r="W31" s="7"/>
      <c r="X31" s="7"/>
    </row>
    <row r="32" spans="2:30" ht="16.5" x14ac:dyDescent="0.3">
      <c r="B32" s="7"/>
      <c r="C32" s="173"/>
      <c r="D32" s="174"/>
      <c r="E32" s="174"/>
      <c r="F32" s="174"/>
      <c r="G32" s="174"/>
      <c r="H32" s="174"/>
      <c r="I32" s="172"/>
      <c r="J32" s="108"/>
      <c r="K32" s="108"/>
      <c r="L32" s="108"/>
      <c r="M32" s="108"/>
      <c r="N32" s="112"/>
      <c r="O32" s="112"/>
      <c r="P32" s="112"/>
      <c r="Q32" s="112"/>
      <c r="T32" s="105"/>
      <c r="U32" s="106"/>
      <c r="V32" s="7"/>
      <c r="W32" s="7"/>
      <c r="X32" s="7"/>
    </row>
    <row r="33" spans="2:18" ht="16.5" x14ac:dyDescent="0.3">
      <c r="B33" s="437"/>
      <c r="C33" s="437"/>
      <c r="D33" s="437"/>
      <c r="E33" s="437"/>
      <c r="F33" s="437"/>
      <c r="G33" s="437"/>
      <c r="H33" s="437"/>
      <c r="I33" s="437"/>
      <c r="J33" s="437"/>
      <c r="K33" s="111"/>
      <c r="L33" s="111"/>
      <c r="M33" s="111"/>
      <c r="N33" s="112"/>
      <c r="O33" s="112"/>
      <c r="P33" s="112"/>
      <c r="Q33" s="112"/>
      <c r="R33" s="99">
        <v>0</v>
      </c>
    </row>
    <row r="34" spans="2:18" ht="16.5" x14ac:dyDescent="0.3">
      <c r="B34" s="111"/>
      <c r="C34" s="111"/>
      <c r="D34" s="111"/>
      <c r="E34" s="111"/>
      <c r="F34" s="111"/>
      <c r="G34" s="111"/>
      <c r="H34" s="111"/>
      <c r="I34" s="111"/>
      <c r="J34" s="111"/>
      <c r="K34" s="111"/>
      <c r="L34" s="111"/>
      <c r="M34" s="111"/>
      <c r="N34" s="112"/>
      <c r="O34" s="112"/>
      <c r="P34" s="112"/>
      <c r="Q34" s="112"/>
      <c r="R34" s="112"/>
    </row>
    <row r="35" spans="2:18" ht="16.5" x14ac:dyDescent="0.3">
      <c r="B35" s="111"/>
      <c r="C35" s="111"/>
      <c r="D35" s="111"/>
      <c r="E35" s="111"/>
      <c r="F35" s="111"/>
      <c r="G35" s="111"/>
      <c r="H35" s="111"/>
      <c r="I35" s="111"/>
      <c r="J35" s="111"/>
      <c r="K35" s="111"/>
      <c r="L35" s="111"/>
      <c r="M35" s="111"/>
      <c r="N35" s="112"/>
      <c r="O35" s="112"/>
      <c r="P35" s="112"/>
      <c r="Q35" s="112"/>
      <c r="R35" s="112"/>
    </row>
    <row r="36" spans="2:18" ht="16.5" x14ac:dyDescent="0.3">
      <c r="B36" s="453"/>
      <c r="C36" s="453"/>
      <c r="D36" s="453"/>
      <c r="E36" s="453"/>
      <c r="F36" s="453"/>
      <c r="G36" s="453"/>
      <c r="H36" s="453"/>
      <c r="I36" s="453"/>
      <c r="J36" s="453"/>
      <c r="K36" s="453"/>
      <c r="L36" s="453"/>
      <c r="M36" s="453"/>
      <c r="N36" s="453"/>
      <c r="O36" s="112"/>
      <c r="P36" s="112"/>
      <c r="Q36" s="112"/>
      <c r="R36" s="112"/>
    </row>
    <row r="37" spans="2:18" ht="16.5" x14ac:dyDescent="0.3">
      <c r="B37" s="453"/>
      <c r="C37" s="453"/>
      <c r="D37" s="453"/>
      <c r="E37" s="169"/>
      <c r="F37" s="179"/>
      <c r="G37" s="153"/>
      <c r="H37" s="153"/>
      <c r="I37" s="153"/>
      <c r="J37" s="153"/>
      <c r="K37" s="153"/>
      <c r="L37" s="153"/>
      <c r="M37" s="153"/>
      <c r="N37" s="153"/>
      <c r="O37" s="112"/>
      <c r="P37" s="112"/>
      <c r="Q37" s="112"/>
      <c r="R37" s="112"/>
    </row>
    <row r="38" spans="2:18" ht="16.5" x14ac:dyDescent="0.3">
      <c r="B38" s="111"/>
      <c r="C38" s="459"/>
      <c r="D38" s="459"/>
      <c r="E38" s="111"/>
      <c r="F38" s="180"/>
      <c r="G38" s="180"/>
      <c r="H38" s="180"/>
      <c r="I38" s="180"/>
      <c r="J38" s="180"/>
      <c r="K38" s="180"/>
      <c r="L38" s="180"/>
      <c r="M38" s="180"/>
      <c r="N38" s="180"/>
      <c r="O38" s="112"/>
      <c r="P38" s="112"/>
      <c r="Q38" s="112"/>
      <c r="R38" s="112"/>
    </row>
    <row r="39" spans="2:18" ht="16.5" x14ac:dyDescent="0.3">
      <c r="B39" s="111"/>
      <c r="C39" s="459"/>
      <c r="D39" s="459"/>
      <c r="E39" s="111"/>
      <c r="F39" s="111"/>
      <c r="G39" s="111"/>
      <c r="H39" s="111"/>
      <c r="I39" s="111"/>
      <c r="J39" s="111"/>
      <c r="K39" s="111"/>
      <c r="L39" s="111"/>
      <c r="M39" s="111"/>
      <c r="N39" s="111"/>
      <c r="O39" s="112"/>
      <c r="P39" s="112"/>
      <c r="Q39" s="112"/>
      <c r="R39" s="112"/>
    </row>
    <row r="40" spans="2:18" ht="16.5" x14ac:dyDescent="0.3">
      <c r="B40" s="111"/>
      <c r="C40" s="459"/>
      <c r="D40" s="459"/>
      <c r="E40" s="111"/>
      <c r="F40" s="111"/>
      <c r="G40" s="111"/>
      <c r="H40" s="111"/>
      <c r="I40" s="111"/>
      <c r="J40" s="111"/>
      <c r="K40" s="111"/>
      <c r="L40" s="111"/>
      <c r="M40" s="111"/>
      <c r="N40" s="111"/>
      <c r="O40" s="112"/>
      <c r="P40" s="112"/>
      <c r="Q40" s="112"/>
      <c r="R40" s="112"/>
    </row>
    <row r="41" spans="2:18" ht="16.5" x14ac:dyDescent="0.3">
      <c r="B41" s="111"/>
      <c r="C41" s="459"/>
      <c r="D41" s="459"/>
      <c r="E41" s="111"/>
      <c r="F41" s="111"/>
      <c r="G41" s="111"/>
      <c r="H41" s="111"/>
      <c r="I41" s="111"/>
      <c r="J41" s="111"/>
      <c r="K41" s="111"/>
      <c r="L41" s="111"/>
      <c r="M41" s="111"/>
      <c r="N41" s="111"/>
      <c r="O41" s="112"/>
      <c r="P41" s="112"/>
      <c r="Q41" s="112"/>
      <c r="R41" s="112"/>
    </row>
    <row r="42" spans="2:18" ht="16.5" x14ac:dyDescent="0.3">
      <c r="B42" s="111"/>
      <c r="C42" s="459"/>
      <c r="D42" s="459"/>
      <c r="E42" s="111"/>
      <c r="F42" s="111"/>
      <c r="G42" s="111"/>
      <c r="H42" s="111"/>
      <c r="I42" s="111"/>
      <c r="J42" s="111"/>
      <c r="K42" s="111"/>
      <c r="L42" s="111"/>
      <c r="M42" s="111"/>
      <c r="N42" s="111"/>
      <c r="O42" s="112"/>
      <c r="P42" s="112"/>
      <c r="Q42" s="112"/>
      <c r="R42" s="112"/>
    </row>
    <row r="43" spans="2:18" ht="16.5" x14ac:dyDescent="0.3">
      <c r="B43" s="453"/>
      <c r="C43" s="453"/>
      <c r="D43" s="453"/>
      <c r="E43" s="453"/>
      <c r="F43" s="111"/>
      <c r="G43" s="111"/>
      <c r="H43" s="111"/>
      <c r="I43" s="111"/>
      <c r="J43" s="111"/>
      <c r="K43" s="111"/>
      <c r="L43" s="111"/>
      <c r="M43" s="111"/>
      <c r="N43" s="111"/>
      <c r="O43" s="112"/>
      <c r="P43" s="112"/>
      <c r="Q43" s="112"/>
      <c r="R43" s="112"/>
    </row>
    <row r="44" spans="2:18" ht="16.5" x14ac:dyDescent="0.3">
      <c r="B44" s="453"/>
      <c r="C44" s="453"/>
      <c r="D44" s="453"/>
      <c r="E44" s="111"/>
      <c r="F44" s="111"/>
      <c r="G44" s="111"/>
      <c r="H44" s="111"/>
      <c r="I44" s="111"/>
      <c r="J44" s="111"/>
      <c r="K44" s="111"/>
      <c r="L44" s="111"/>
      <c r="M44" s="111"/>
      <c r="N44" s="111"/>
      <c r="O44" s="111"/>
      <c r="P44" s="112"/>
      <c r="Q44" s="112"/>
      <c r="R44" s="112"/>
    </row>
    <row r="45" spans="2:18" ht="16.5" x14ac:dyDescent="0.3">
      <c r="B45" s="111"/>
      <c r="C45" s="111"/>
      <c r="D45" s="111"/>
      <c r="E45" s="111"/>
      <c r="F45" s="111"/>
      <c r="G45" s="111"/>
      <c r="H45" s="111"/>
      <c r="I45" s="111"/>
      <c r="J45" s="111"/>
      <c r="K45" s="111"/>
      <c r="L45" s="111"/>
      <c r="M45" s="111"/>
      <c r="N45" s="112"/>
      <c r="O45" s="112"/>
      <c r="P45" s="112"/>
      <c r="Q45" s="112"/>
      <c r="R45" s="112"/>
    </row>
    <row r="46" spans="2:18" ht="16.5" x14ac:dyDescent="0.3">
      <c r="B46" s="111"/>
      <c r="C46" s="111"/>
      <c r="D46" s="111"/>
      <c r="E46" s="111"/>
      <c r="F46" s="111"/>
      <c r="G46" s="111"/>
      <c r="H46" s="111"/>
      <c r="I46" s="111"/>
      <c r="J46" s="111"/>
      <c r="K46" s="111"/>
      <c r="L46" s="111"/>
      <c r="M46" s="111"/>
      <c r="N46" s="112"/>
      <c r="O46" s="112"/>
      <c r="P46" s="112"/>
      <c r="Q46" s="112"/>
      <c r="R46" s="112"/>
    </row>
    <row r="47" spans="2:18" ht="16.5" x14ac:dyDescent="0.3">
      <c r="C47" s="111"/>
      <c r="D47" s="111"/>
      <c r="E47" s="111"/>
      <c r="F47" s="111"/>
      <c r="G47" s="111"/>
      <c r="H47" s="111"/>
      <c r="I47" s="111"/>
      <c r="J47" s="111"/>
      <c r="K47" s="111"/>
      <c r="L47" s="111"/>
      <c r="M47" s="111"/>
      <c r="N47" s="112"/>
      <c r="O47" s="112"/>
      <c r="P47" s="112"/>
      <c r="Q47" s="112"/>
    </row>
    <row r="48" spans="2:18" ht="16.5" x14ac:dyDescent="0.3">
      <c r="C48" s="437"/>
      <c r="D48" s="437"/>
      <c r="E48" s="437"/>
      <c r="F48" s="111"/>
      <c r="G48" s="111"/>
      <c r="H48" s="111"/>
      <c r="I48" s="111"/>
      <c r="J48" s="111"/>
      <c r="K48" s="111"/>
      <c r="L48" s="111"/>
      <c r="M48" s="111"/>
      <c r="N48" s="112"/>
      <c r="O48" s="112"/>
      <c r="P48" s="112"/>
      <c r="Q48" s="112"/>
    </row>
    <row r="49" spans="3:17" ht="16.5" x14ac:dyDescent="0.3">
      <c r="C49" s="141"/>
      <c r="D49" s="141"/>
      <c r="E49" s="141"/>
      <c r="F49" s="141"/>
      <c r="G49" s="141"/>
      <c r="H49" s="141"/>
      <c r="I49" s="141"/>
      <c r="J49" s="141"/>
      <c r="K49" s="141"/>
      <c r="L49" s="141"/>
      <c r="M49" s="141"/>
      <c r="N49" s="141"/>
      <c r="O49" s="141"/>
      <c r="P49" s="141"/>
      <c r="Q49" s="141"/>
    </row>
    <row r="50" spans="3:17" ht="16.5" x14ac:dyDescent="0.3">
      <c r="C50" s="111"/>
      <c r="D50" s="81"/>
      <c r="E50" s="81"/>
      <c r="F50" s="81"/>
      <c r="G50" s="81"/>
      <c r="H50" s="81"/>
      <c r="I50" s="81"/>
      <c r="J50" s="81"/>
      <c r="K50" s="81"/>
      <c r="L50" s="81"/>
      <c r="M50" s="81"/>
      <c r="N50" s="142"/>
      <c r="O50" s="142"/>
      <c r="P50" s="142"/>
      <c r="Q50" s="142"/>
    </row>
    <row r="51" spans="3:17" ht="16.5" x14ac:dyDescent="0.3">
      <c r="C51" s="111"/>
      <c r="D51" s="81"/>
      <c r="E51" s="81"/>
      <c r="F51" s="81"/>
      <c r="G51" s="81"/>
      <c r="H51" s="81"/>
      <c r="I51" s="81"/>
      <c r="J51" s="81"/>
      <c r="K51" s="81"/>
      <c r="L51" s="81"/>
      <c r="M51" s="81"/>
      <c r="N51" s="142"/>
      <c r="O51" s="142"/>
      <c r="P51" s="142"/>
      <c r="Q51" s="142"/>
    </row>
    <row r="52" spans="3:17" ht="16.5" x14ac:dyDescent="0.3">
      <c r="C52" s="111"/>
      <c r="D52" s="81"/>
      <c r="E52" s="81"/>
      <c r="F52" s="81"/>
      <c r="G52" s="81"/>
      <c r="H52" s="81"/>
      <c r="I52" s="81"/>
      <c r="J52" s="81"/>
      <c r="K52" s="81"/>
      <c r="L52" s="81"/>
      <c r="M52" s="81"/>
      <c r="N52" s="142"/>
      <c r="O52" s="142"/>
      <c r="P52" s="142"/>
      <c r="Q52" s="142"/>
    </row>
    <row r="53" spans="3:17" ht="16.5" x14ac:dyDescent="0.3">
      <c r="C53" s="111"/>
      <c r="D53" s="81"/>
      <c r="E53" s="81"/>
      <c r="F53" s="81"/>
      <c r="G53" s="81"/>
      <c r="H53" s="81"/>
      <c r="I53" s="81"/>
      <c r="J53" s="81"/>
      <c r="K53" s="81"/>
      <c r="L53" s="81"/>
      <c r="M53" s="81"/>
      <c r="N53" s="142"/>
      <c r="O53" s="142"/>
      <c r="P53" s="142"/>
      <c r="Q53" s="142"/>
    </row>
    <row r="54" spans="3:17" ht="16.5" x14ac:dyDescent="0.3">
      <c r="C54" s="111"/>
      <c r="D54" s="81"/>
      <c r="E54" s="81"/>
      <c r="F54" s="81"/>
      <c r="G54" s="81"/>
      <c r="H54" s="81"/>
      <c r="I54" s="81"/>
      <c r="J54" s="81"/>
      <c r="K54" s="81"/>
      <c r="L54" s="81"/>
      <c r="M54" s="81"/>
      <c r="N54" s="142"/>
      <c r="O54" s="142"/>
      <c r="P54" s="142"/>
      <c r="Q54" s="142"/>
    </row>
    <row r="55" spans="3:17" ht="16.5" x14ac:dyDescent="0.25">
      <c r="C55" s="111"/>
      <c r="D55" s="81"/>
      <c r="E55" s="81"/>
      <c r="F55" s="81"/>
      <c r="G55" s="81"/>
      <c r="H55" s="81"/>
      <c r="I55" s="81"/>
      <c r="J55" s="81"/>
      <c r="K55" s="81"/>
      <c r="L55" s="81"/>
      <c r="M55" s="81"/>
      <c r="N55" s="81"/>
      <c r="O55" s="81"/>
      <c r="P55" s="81"/>
      <c r="Q55" s="81"/>
    </row>
    <row r="56" spans="3:17" ht="16.5" x14ac:dyDescent="0.3">
      <c r="C56" s="437"/>
      <c r="D56" s="437"/>
      <c r="E56" s="437"/>
      <c r="F56" s="437"/>
      <c r="G56" s="437"/>
      <c r="H56" s="437"/>
      <c r="I56" s="437"/>
      <c r="J56" s="437"/>
      <c r="K56" s="437"/>
      <c r="L56" s="437"/>
      <c r="M56" s="437"/>
      <c r="N56" s="437"/>
      <c r="O56" s="437"/>
      <c r="P56" s="112"/>
      <c r="Q56" s="112"/>
    </row>
    <row r="58" spans="3:17" ht="16.5" x14ac:dyDescent="0.3">
      <c r="C58" s="442"/>
      <c r="D58" s="442"/>
      <c r="E58" s="137"/>
      <c r="F58" s="181"/>
      <c r="G58" s="181"/>
      <c r="H58" s="181"/>
      <c r="I58" s="181"/>
      <c r="J58" s="181"/>
      <c r="K58" s="181"/>
      <c r="L58" s="181"/>
      <c r="M58" s="181"/>
      <c r="N58" s="181"/>
      <c r="O58" s="181"/>
      <c r="P58" s="181"/>
    </row>
    <row r="59" spans="3:17" ht="16.5" x14ac:dyDescent="0.3">
      <c r="C59" s="2"/>
      <c r="D59" s="117"/>
      <c r="E59" s="116"/>
      <c r="F59" s="137"/>
      <c r="G59" s="137"/>
      <c r="H59" s="137"/>
      <c r="I59" s="137"/>
      <c r="J59" s="137"/>
      <c r="K59" s="137"/>
      <c r="L59" s="137"/>
      <c r="M59" s="137"/>
      <c r="N59" s="137"/>
      <c r="O59" s="137"/>
      <c r="P59" s="137"/>
    </row>
    <row r="60" spans="3:17" ht="16.5" x14ac:dyDescent="0.3">
      <c r="C60" s="2"/>
      <c r="D60" s="122"/>
      <c r="E60" s="116"/>
      <c r="F60" s="137"/>
      <c r="G60" s="137"/>
      <c r="H60" s="137"/>
      <c r="I60" s="137"/>
      <c r="J60" s="137"/>
      <c r="K60" s="137"/>
      <c r="L60" s="137"/>
      <c r="M60" s="137"/>
      <c r="N60" s="137"/>
      <c r="O60" s="137"/>
      <c r="P60" s="137"/>
    </row>
    <row r="61" spans="3:17" ht="16.5" x14ac:dyDescent="0.3">
      <c r="C61" s="2"/>
      <c r="D61" s="2"/>
      <c r="E61" s="116"/>
      <c r="F61" s="137"/>
      <c r="G61" s="137"/>
      <c r="H61" s="137"/>
      <c r="I61" s="182"/>
      <c r="J61" s="182"/>
      <c r="K61" s="182"/>
      <c r="L61" s="182"/>
      <c r="M61" s="182"/>
      <c r="N61" s="182"/>
      <c r="O61" s="182"/>
      <c r="P61" s="182"/>
    </row>
    <row r="62" spans="3:17" ht="16.5" x14ac:dyDescent="0.3">
      <c r="C62" s="2"/>
      <c r="D62" s="123"/>
      <c r="E62" s="116"/>
      <c r="F62" s="183"/>
      <c r="G62" s="183"/>
      <c r="H62" s="183"/>
      <c r="I62" s="182"/>
      <c r="J62" s="182"/>
      <c r="K62" s="182"/>
      <c r="L62" s="182"/>
      <c r="M62" s="182"/>
      <c r="N62" s="182"/>
      <c r="O62" s="182"/>
      <c r="P62" s="182"/>
    </row>
    <row r="63" spans="3:17" ht="16.5" x14ac:dyDescent="0.3">
      <c r="C63" s="2"/>
      <c r="D63" s="116"/>
      <c r="E63" s="125"/>
      <c r="F63" s="183"/>
      <c r="G63" s="183"/>
      <c r="H63" s="183"/>
      <c r="I63" s="182"/>
      <c r="J63" s="182"/>
      <c r="K63" s="182"/>
      <c r="L63" s="182"/>
      <c r="M63" s="182"/>
      <c r="N63" s="182"/>
      <c r="O63" s="182"/>
      <c r="P63" s="182"/>
    </row>
    <row r="64" spans="3:17" ht="16.5" x14ac:dyDescent="0.3">
      <c r="C64" s="121"/>
      <c r="D64" s="124"/>
      <c r="E64" s="116"/>
      <c r="F64" s="183"/>
      <c r="G64" s="183"/>
      <c r="H64" s="183"/>
      <c r="I64" s="182"/>
      <c r="J64" s="182"/>
      <c r="K64" s="182"/>
      <c r="L64" s="182"/>
      <c r="M64" s="182"/>
      <c r="N64" s="182"/>
      <c r="O64" s="182"/>
      <c r="P64" s="182"/>
    </row>
    <row r="65" spans="3:16" ht="16.5" x14ac:dyDescent="0.3">
      <c r="C65" s="115"/>
      <c r="D65" s="125"/>
      <c r="E65" s="125"/>
      <c r="F65" s="183"/>
      <c r="G65" s="183"/>
      <c r="H65" s="183"/>
      <c r="I65" s="182"/>
      <c r="J65" s="182"/>
      <c r="K65" s="182"/>
      <c r="L65" s="182"/>
      <c r="M65" s="182"/>
      <c r="N65" s="182"/>
      <c r="O65" s="182"/>
      <c r="P65" s="182"/>
    </row>
    <row r="66" spans="3:16" ht="16.5" x14ac:dyDescent="0.3">
      <c r="C66" s="115"/>
      <c r="D66" s="116"/>
      <c r="E66" s="116"/>
      <c r="F66" s="183"/>
      <c r="G66" s="183"/>
      <c r="H66" s="183"/>
      <c r="I66" s="182"/>
      <c r="J66" s="182"/>
      <c r="K66" s="182"/>
      <c r="L66" s="182"/>
      <c r="M66" s="182"/>
      <c r="N66" s="182"/>
      <c r="O66" s="182"/>
      <c r="P66" s="182"/>
    </row>
    <row r="67" spans="3:16" ht="16.5" x14ac:dyDescent="0.3">
      <c r="C67" s="184"/>
      <c r="D67" s="184"/>
      <c r="E67" s="116"/>
      <c r="F67" s="183"/>
      <c r="G67" s="183"/>
      <c r="H67" s="183"/>
      <c r="I67" s="182"/>
      <c r="J67" s="182"/>
      <c r="K67" s="182"/>
      <c r="L67" s="182"/>
      <c r="M67" s="182"/>
      <c r="N67" s="182"/>
      <c r="O67" s="182"/>
      <c r="P67" s="182"/>
    </row>
    <row r="68" spans="3:16" ht="16.5" x14ac:dyDescent="0.3">
      <c r="C68" s="120"/>
      <c r="D68" s="117"/>
      <c r="E68" s="116"/>
      <c r="F68" s="183"/>
      <c r="G68" s="183"/>
      <c r="H68" s="183"/>
      <c r="I68" s="182"/>
      <c r="J68" s="182"/>
      <c r="K68" s="182"/>
      <c r="L68" s="182"/>
      <c r="M68" s="182"/>
      <c r="N68" s="182"/>
      <c r="O68" s="182"/>
      <c r="P68" s="182"/>
    </row>
    <row r="69" spans="3:16" ht="16.5" x14ac:dyDescent="0.3">
      <c r="C69" s="125"/>
      <c r="D69" s="124"/>
      <c r="E69" s="116"/>
      <c r="F69" s="183"/>
      <c r="G69" s="183"/>
      <c r="H69" s="183"/>
      <c r="I69" s="182"/>
      <c r="J69" s="182"/>
      <c r="K69" s="182"/>
      <c r="L69" s="182"/>
      <c r="M69" s="182"/>
      <c r="N69" s="182"/>
      <c r="O69" s="182"/>
      <c r="P69" s="182"/>
    </row>
    <row r="70" spans="3:16" ht="16.5" x14ac:dyDescent="0.3">
      <c r="C70" s="126"/>
      <c r="D70" s="127"/>
      <c r="E70" s="116"/>
      <c r="F70" s="183"/>
      <c r="G70" s="183"/>
      <c r="H70" s="183"/>
      <c r="I70" s="182"/>
      <c r="J70" s="182"/>
      <c r="K70" s="182"/>
      <c r="L70" s="182"/>
      <c r="M70" s="182"/>
      <c r="N70" s="182"/>
      <c r="O70" s="182"/>
      <c r="P70" s="182"/>
    </row>
    <row r="71" spans="3:16" ht="16.5" x14ac:dyDescent="0.3">
      <c r="C71" s="125"/>
      <c r="D71" s="125"/>
      <c r="E71" s="116"/>
      <c r="F71" s="183"/>
      <c r="G71" s="183"/>
      <c r="H71" s="183"/>
      <c r="I71" s="182"/>
      <c r="J71" s="182"/>
      <c r="K71" s="182"/>
      <c r="L71" s="182"/>
      <c r="M71" s="182"/>
      <c r="N71" s="182"/>
      <c r="O71" s="182"/>
      <c r="P71" s="182"/>
    </row>
    <row r="72" spans="3:16" ht="16.5" x14ac:dyDescent="0.3">
      <c r="C72" s="118"/>
      <c r="D72" s="119"/>
      <c r="E72" s="116"/>
      <c r="F72" s="183"/>
      <c r="G72" s="183"/>
      <c r="H72" s="183"/>
      <c r="I72" s="182"/>
      <c r="J72" s="182"/>
      <c r="K72" s="182"/>
      <c r="L72" s="182"/>
      <c r="M72" s="182"/>
      <c r="N72" s="182"/>
      <c r="O72" s="182"/>
      <c r="P72" s="182"/>
    </row>
    <row r="73" spans="3:16" ht="16.5" x14ac:dyDescent="0.3">
      <c r="C73" s="7"/>
      <c r="D73" s="7"/>
    </row>
    <row r="74" spans="3:16" ht="16.5" x14ac:dyDescent="0.3">
      <c r="C74" s="7"/>
      <c r="D74" s="7"/>
    </row>
  </sheetData>
  <mergeCells count="33">
    <mergeCell ref="B3:N3"/>
    <mergeCell ref="J4:J5"/>
    <mergeCell ref="O4:O5"/>
    <mergeCell ref="B4:C5"/>
    <mergeCell ref="C41:D41"/>
    <mergeCell ref="B36:E36"/>
    <mergeCell ref="F36:N36"/>
    <mergeCell ref="D4:I4"/>
    <mergeCell ref="D14:I14"/>
    <mergeCell ref="B23:C23"/>
    <mergeCell ref="K4:N4"/>
    <mergeCell ref="C38:D38"/>
    <mergeCell ref="C42:D42"/>
    <mergeCell ref="B43:E43"/>
    <mergeCell ref="B44:D44"/>
    <mergeCell ref="C39:D39"/>
    <mergeCell ref="C40:D40"/>
    <mergeCell ref="C58:D58"/>
    <mergeCell ref="V4:AE4"/>
    <mergeCell ref="B33:J33"/>
    <mergeCell ref="B14:C15"/>
    <mergeCell ref="B11:I11"/>
    <mergeCell ref="B10:I10"/>
    <mergeCell ref="B13:C13"/>
    <mergeCell ref="J14:J15"/>
    <mergeCell ref="N14:N15"/>
    <mergeCell ref="U11:V11"/>
    <mergeCell ref="B37:D37"/>
    <mergeCell ref="R4:R5"/>
    <mergeCell ref="C56:O56"/>
    <mergeCell ref="C48:E48"/>
    <mergeCell ref="P4:P5"/>
    <mergeCell ref="Q4:Q5"/>
  </mergeCells>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V52"/>
  <sheetViews>
    <sheetView zoomScale="80" zoomScaleNormal="80" workbookViewId="0">
      <selection activeCell="I20" sqref="I20"/>
    </sheetView>
  </sheetViews>
  <sheetFormatPr defaultRowHeight="15" outlineLevelCol="1" x14ac:dyDescent="0.25"/>
  <cols>
    <col min="2" max="2" width="58.140625" customWidth="1"/>
    <col min="3" max="3" width="11.28515625" hidden="1" customWidth="1" outlineLevel="1"/>
    <col min="4" max="8" width="8.7109375" hidden="1" customWidth="1" outlineLevel="1"/>
    <col min="9" max="9" width="40.42578125" customWidth="1" collapsed="1"/>
    <col min="10" max="10" width="9.140625" style="266" bestFit="1" customWidth="1"/>
    <col min="11" max="13" width="9.140625" bestFit="1" customWidth="1"/>
    <col min="14" max="14" width="9.140625" style="266" bestFit="1" customWidth="1"/>
    <col min="15" max="15" width="9.140625" bestFit="1" customWidth="1"/>
    <col min="16" max="16" width="10.7109375" customWidth="1"/>
  </cols>
  <sheetData>
    <row r="1" spans="1:22" x14ac:dyDescent="0.25">
      <c r="J1" s="277">
        <f>1059/I7</f>
        <v>0.42359999999999998</v>
      </c>
    </row>
    <row r="2" spans="1:22" ht="17.25" thickBot="1" x14ac:dyDescent="0.3">
      <c r="A2" s="451" t="s">
        <v>146</v>
      </c>
      <c r="B2" s="451"/>
      <c r="C2" s="451"/>
      <c r="D2" s="451"/>
      <c r="E2" s="451"/>
      <c r="F2" s="451"/>
      <c r="G2" s="451"/>
      <c r="H2" s="451"/>
      <c r="I2" s="451"/>
      <c r="J2" s="451"/>
      <c r="K2" s="451"/>
      <c r="L2" s="451"/>
      <c r="M2" s="451"/>
      <c r="N2" s="451"/>
      <c r="O2" s="451"/>
      <c r="P2" s="451"/>
    </row>
    <row r="3" spans="1:22" ht="16.5" x14ac:dyDescent="0.25">
      <c r="A3" s="480" t="s">
        <v>128</v>
      </c>
      <c r="B3" s="480"/>
      <c r="C3" s="481" t="s">
        <v>129</v>
      </c>
      <c r="D3" s="481"/>
      <c r="E3" s="481"/>
      <c r="F3" s="481"/>
      <c r="G3" s="481"/>
      <c r="H3" s="481"/>
      <c r="I3" s="473" t="s">
        <v>153</v>
      </c>
      <c r="J3" s="473" t="s">
        <v>143</v>
      </c>
      <c r="K3" s="473"/>
      <c r="L3" s="473"/>
      <c r="M3" s="473"/>
      <c r="N3" s="474" t="s">
        <v>157</v>
      </c>
      <c r="O3" s="482" t="s">
        <v>156</v>
      </c>
      <c r="P3" s="484" t="s">
        <v>266</v>
      </c>
    </row>
    <row r="4" spans="1:22" ht="16.5" x14ac:dyDescent="0.25">
      <c r="A4" s="480"/>
      <c r="B4" s="480"/>
      <c r="C4" s="128" t="s">
        <v>147</v>
      </c>
      <c r="D4" s="128" t="s">
        <v>148</v>
      </c>
      <c r="E4" s="128" t="s">
        <v>149</v>
      </c>
      <c r="F4" s="128" t="s">
        <v>150</v>
      </c>
      <c r="G4" s="109" t="s">
        <v>151</v>
      </c>
      <c r="H4" s="154" t="s">
        <v>152</v>
      </c>
      <c r="I4" s="473"/>
      <c r="J4" s="278" t="s">
        <v>130</v>
      </c>
      <c r="K4" s="189" t="s">
        <v>131</v>
      </c>
      <c r="L4" s="189" t="s">
        <v>154</v>
      </c>
      <c r="M4" s="189" t="s">
        <v>155</v>
      </c>
      <c r="N4" s="474"/>
      <c r="O4" s="483"/>
      <c r="P4" s="485"/>
    </row>
    <row r="5" spans="1:22" ht="27" customHeight="1" x14ac:dyDescent="0.3">
      <c r="A5" s="5">
        <v>1</v>
      </c>
      <c r="B5" s="129" t="s">
        <v>293</v>
      </c>
      <c r="C5" s="138"/>
      <c r="D5" s="138"/>
      <c r="E5" s="138"/>
      <c r="F5" s="138"/>
      <c r="G5" s="138"/>
      <c r="H5" s="185"/>
      <c r="I5" s="218" t="s">
        <v>294</v>
      </c>
      <c r="J5" s="278">
        <f>venituri!K10*40%</f>
        <v>0</v>
      </c>
      <c r="K5" s="201">
        <f>60%*(venituri!L8+venituri!L7+venituri!L6)</f>
        <v>45000</v>
      </c>
      <c r="L5" s="201">
        <f>60%*(venituri!M8+venituri!M7+venituri!M6)</f>
        <v>117000</v>
      </c>
      <c r="M5" s="201">
        <f>60%*(venituri!N8+venituri!N7+venituri!N6)</f>
        <v>66000</v>
      </c>
      <c r="N5" s="286">
        <f>60%*(venituri!O8+venituri!O7+venituri!O6)</f>
        <v>228000</v>
      </c>
      <c r="O5" s="201">
        <f>60%*(venituri!P8+venituri!P7+venituri!P6)</f>
        <v>252000</v>
      </c>
      <c r="P5" s="201">
        <f>60%*(venituri!Q8+venituri!Q7+venituri!Q6)</f>
        <v>300000</v>
      </c>
      <c r="Q5" s="260"/>
    </row>
    <row r="6" spans="1:22" ht="19.5" customHeight="1" x14ac:dyDescent="0.3">
      <c r="A6" s="5">
        <v>2</v>
      </c>
      <c r="B6" s="130" t="s">
        <v>295</v>
      </c>
      <c r="C6" s="138"/>
      <c r="D6" s="138"/>
      <c r="E6" s="138"/>
      <c r="F6" s="138"/>
      <c r="G6" s="138"/>
      <c r="H6" s="185"/>
      <c r="I6" s="218" t="s">
        <v>296</v>
      </c>
      <c r="J6" s="278">
        <f>2%*venituri!K10</f>
        <v>0</v>
      </c>
      <c r="K6" s="201">
        <f>1%*(venituri!L6+venituri!L7+venituri!L8)</f>
        <v>750</v>
      </c>
      <c r="L6" s="201">
        <f>1%*(venituri!M6+venituri!M7+venituri!M8)</f>
        <v>1950</v>
      </c>
      <c r="M6" s="201">
        <f>1%*(venituri!N6+venituri!N7+venituri!N8)</f>
        <v>1100</v>
      </c>
      <c r="N6" s="286">
        <f>1%*(venituri!O6+venituri!O7+venituri!O8)</f>
        <v>3800</v>
      </c>
      <c r="O6" s="201">
        <f>1%*(venituri!P6+venituri!P7+venituri!P8)</f>
        <v>4200</v>
      </c>
      <c r="P6" s="201">
        <f>1%*(venituri!Q6+venituri!Q7+venituri!Q8)</f>
        <v>5000</v>
      </c>
      <c r="Q6" s="260"/>
    </row>
    <row r="7" spans="1:22" ht="47.1" customHeight="1" x14ac:dyDescent="0.3">
      <c r="A7" s="5">
        <v>3</v>
      </c>
      <c r="B7" s="131" t="s">
        <v>297</v>
      </c>
      <c r="C7" s="102">
        <v>1</v>
      </c>
      <c r="D7" s="102">
        <v>2</v>
      </c>
      <c r="E7" s="102">
        <v>2</v>
      </c>
      <c r="F7" s="102">
        <v>2</v>
      </c>
      <c r="G7" s="102">
        <v>2</v>
      </c>
      <c r="H7" s="186">
        <v>2</v>
      </c>
      <c r="I7" s="3">
        <v>2500</v>
      </c>
      <c r="J7" s="267">
        <f>(C7*$I$7*3)</f>
        <v>7500</v>
      </c>
      <c r="K7" s="3">
        <f>3*D7*$I$7</f>
        <v>15000</v>
      </c>
      <c r="L7" s="3">
        <f>3*E7*$I$7</f>
        <v>15000</v>
      </c>
      <c r="M7" s="3">
        <f>3*F7*I7</f>
        <v>15000</v>
      </c>
      <c r="N7" s="287">
        <f>SUM(J7:M7)</f>
        <v>52500</v>
      </c>
      <c r="O7" s="3">
        <f>2800*2*12</f>
        <v>67200</v>
      </c>
      <c r="P7" s="3">
        <f>3000*2*12</f>
        <v>72000</v>
      </c>
      <c r="Q7" s="260"/>
      <c r="T7" s="258">
        <f>I7*57.2%</f>
        <v>1430.0000000000002</v>
      </c>
    </row>
    <row r="8" spans="1:22" ht="21.95" customHeight="1" x14ac:dyDescent="0.3">
      <c r="A8" s="5">
        <v>4</v>
      </c>
      <c r="B8" s="135" t="s">
        <v>262</v>
      </c>
      <c r="C8" s="102"/>
      <c r="D8" s="102"/>
      <c r="E8" s="102"/>
      <c r="F8" s="102"/>
      <c r="G8" s="102"/>
      <c r="H8" s="186"/>
      <c r="I8" s="3" t="s">
        <v>263</v>
      </c>
      <c r="J8" s="267">
        <v>0</v>
      </c>
      <c r="K8" s="3">
        <f>400*3</f>
        <v>1200</v>
      </c>
      <c r="L8" s="3">
        <f t="shared" ref="L8:M8" si="0">400*3</f>
        <v>1200</v>
      </c>
      <c r="M8" s="3">
        <f t="shared" si="0"/>
        <v>1200</v>
      </c>
      <c r="N8" s="287">
        <f>SUM(J8:M8)</f>
        <v>3600</v>
      </c>
      <c r="O8" s="3">
        <f>400*12</f>
        <v>4800</v>
      </c>
      <c r="P8" s="3">
        <f>O8</f>
        <v>4800</v>
      </c>
      <c r="T8" s="258">
        <f>I7-T7</f>
        <v>1069.9999999999998</v>
      </c>
    </row>
    <row r="9" spans="1:22" ht="21" customHeight="1" x14ac:dyDescent="0.3">
      <c r="A9" s="5">
        <v>5</v>
      </c>
      <c r="B9" s="132" t="s">
        <v>132</v>
      </c>
      <c r="C9" s="102"/>
      <c r="D9" s="102"/>
      <c r="E9" s="102"/>
      <c r="F9" s="102"/>
      <c r="G9" s="102"/>
      <c r="H9" s="186"/>
      <c r="I9" s="3" t="s">
        <v>173</v>
      </c>
      <c r="J9" s="267">
        <v>0</v>
      </c>
      <c r="K9" s="3"/>
      <c r="L9" s="3"/>
      <c r="M9" s="3"/>
      <c r="N9" s="287"/>
      <c r="O9" s="3"/>
      <c r="P9" s="3"/>
    </row>
    <row r="10" spans="1:22" ht="21" customHeight="1" x14ac:dyDescent="0.3">
      <c r="A10" s="5">
        <v>7</v>
      </c>
      <c r="B10" s="132" t="s">
        <v>261</v>
      </c>
      <c r="C10" s="102"/>
      <c r="D10" s="102"/>
      <c r="E10" s="102"/>
      <c r="F10" s="102"/>
      <c r="G10" s="102"/>
      <c r="H10" s="186"/>
      <c r="I10" s="3" t="s">
        <v>298</v>
      </c>
      <c r="J10" s="267">
        <v>0</v>
      </c>
      <c r="K10" s="3">
        <f>500*3</f>
        <v>1500</v>
      </c>
      <c r="L10" s="3">
        <f>K10</f>
        <v>1500</v>
      </c>
      <c r="M10" s="3">
        <f>L10</f>
        <v>1500</v>
      </c>
      <c r="N10" s="287">
        <f>SUM(J10:M10)</f>
        <v>4500</v>
      </c>
      <c r="O10" s="3">
        <f>500*12</f>
        <v>6000</v>
      </c>
      <c r="P10" s="3">
        <f>O10</f>
        <v>6000</v>
      </c>
    </row>
    <row r="11" spans="1:22" ht="20.100000000000001" customHeight="1" x14ac:dyDescent="0.3">
      <c r="A11" s="5">
        <v>8</v>
      </c>
      <c r="B11" s="132" t="s">
        <v>133</v>
      </c>
      <c r="C11" s="102"/>
      <c r="D11" s="102"/>
      <c r="E11" s="102"/>
      <c r="F11" s="102"/>
      <c r="G11" s="102"/>
      <c r="H11" s="186"/>
      <c r="I11" s="3"/>
      <c r="J11" s="267"/>
      <c r="K11" s="3"/>
      <c r="L11" s="3"/>
      <c r="M11" s="5"/>
      <c r="N11" s="287"/>
      <c r="O11" s="3"/>
      <c r="P11" s="3"/>
    </row>
    <row r="12" spans="1:22" ht="14.45" customHeight="1" x14ac:dyDescent="0.3">
      <c r="A12" s="5"/>
      <c r="B12" s="133" t="s">
        <v>134</v>
      </c>
      <c r="C12" s="101"/>
      <c r="D12" s="101"/>
      <c r="E12" s="101"/>
      <c r="F12" s="101"/>
      <c r="G12" s="101"/>
      <c r="H12" s="187"/>
      <c r="I12" s="3"/>
      <c r="J12" s="268">
        <f>SUM(J5:J11)</f>
        <v>7500</v>
      </c>
      <c r="K12" s="148">
        <f t="shared" ref="K12:P12" si="1">SUM(K5:K11)</f>
        <v>63450</v>
      </c>
      <c r="L12" s="148">
        <f t="shared" si="1"/>
        <v>136650</v>
      </c>
      <c r="M12" s="148">
        <f t="shared" si="1"/>
        <v>84800</v>
      </c>
      <c r="N12" s="288">
        <f t="shared" si="1"/>
        <v>292400</v>
      </c>
      <c r="O12" s="148">
        <f t="shared" si="1"/>
        <v>334200</v>
      </c>
      <c r="P12" s="148">
        <f t="shared" si="1"/>
        <v>387800</v>
      </c>
    </row>
    <row r="13" spans="1:22" ht="16.5" x14ac:dyDescent="0.25">
      <c r="A13" s="476" t="s">
        <v>135</v>
      </c>
      <c r="B13" s="477"/>
      <c r="C13" s="139"/>
      <c r="D13" s="139"/>
      <c r="E13" s="139"/>
      <c r="F13" s="139"/>
      <c r="G13" s="139"/>
      <c r="H13" s="139"/>
      <c r="I13" s="88"/>
      <c r="J13" s="269"/>
      <c r="K13" s="88"/>
      <c r="L13" s="88"/>
      <c r="M13" s="88"/>
      <c r="N13" s="269"/>
      <c r="O13" s="88"/>
      <c r="P13" s="88"/>
      <c r="T13">
        <v>2019</v>
      </c>
      <c r="U13">
        <v>2020</v>
      </c>
      <c r="V13">
        <v>2021</v>
      </c>
    </row>
    <row r="14" spans="1:22" ht="45.95" customHeight="1" x14ac:dyDescent="0.3">
      <c r="A14" s="5">
        <v>1</v>
      </c>
      <c r="B14" s="132" t="s">
        <v>174</v>
      </c>
      <c r="C14" s="103"/>
      <c r="D14" s="103"/>
      <c r="E14" s="103"/>
      <c r="F14" s="103"/>
      <c r="G14" s="103"/>
      <c r="H14" s="188"/>
      <c r="I14" s="219" t="s">
        <v>477</v>
      </c>
      <c r="J14" s="267">
        <f>investitia!E51+1875</f>
        <v>2275</v>
      </c>
      <c r="K14" s="3">
        <f>(2500*3)/4</f>
        <v>1875</v>
      </c>
      <c r="L14" s="3">
        <f>K14</f>
        <v>1875</v>
      </c>
      <c r="M14" s="3">
        <f>L14</f>
        <v>1875</v>
      </c>
      <c r="N14" s="287">
        <f>SUM(J14:M14)</f>
        <v>7900</v>
      </c>
      <c r="O14" s="3">
        <f>400*12</f>
        <v>4800</v>
      </c>
      <c r="P14" s="3">
        <f>400*12</f>
        <v>4800</v>
      </c>
      <c r="S14" t="s">
        <v>299</v>
      </c>
      <c r="T14" s="190">
        <f>N7</f>
        <v>52500</v>
      </c>
      <c r="U14" s="190">
        <f t="shared" ref="U14:V14" si="2">O7</f>
        <v>67200</v>
      </c>
      <c r="V14" s="190">
        <f t="shared" si="2"/>
        <v>72000</v>
      </c>
    </row>
    <row r="15" spans="1:22" ht="16.5" x14ac:dyDescent="0.3">
      <c r="A15" s="5">
        <v>2</v>
      </c>
      <c r="B15" s="132" t="s">
        <v>175</v>
      </c>
      <c r="C15" s="100"/>
      <c r="D15" s="100"/>
      <c r="E15" s="100"/>
      <c r="F15" s="100"/>
      <c r="G15" s="100"/>
      <c r="H15" s="187"/>
      <c r="I15" s="3" t="s">
        <v>180</v>
      </c>
      <c r="J15" s="267"/>
      <c r="K15" s="3"/>
      <c r="L15" s="3"/>
      <c r="M15" s="3"/>
      <c r="N15" s="287"/>
      <c r="O15" s="3"/>
      <c r="P15" s="3"/>
    </row>
    <row r="16" spans="1:22" ht="16.5" x14ac:dyDescent="0.3">
      <c r="A16" s="5">
        <v>3</v>
      </c>
      <c r="B16" s="132" t="s">
        <v>176</v>
      </c>
      <c r="C16" s="100"/>
      <c r="D16" s="100"/>
      <c r="E16" s="100"/>
      <c r="F16" s="100"/>
      <c r="G16" s="100"/>
      <c r="H16" s="187"/>
      <c r="I16" s="3" t="s">
        <v>181</v>
      </c>
      <c r="J16" s="267"/>
      <c r="K16" s="3"/>
      <c r="L16" s="3"/>
      <c r="M16" s="3"/>
      <c r="N16" s="287"/>
      <c r="O16" s="3"/>
      <c r="P16" s="3"/>
    </row>
    <row r="17" spans="1:18" ht="33" x14ac:dyDescent="0.3">
      <c r="A17" s="5">
        <v>4</v>
      </c>
      <c r="B17" s="134" t="s">
        <v>177</v>
      </c>
      <c r="C17" s="100"/>
      <c r="D17" s="100"/>
      <c r="E17" s="100"/>
      <c r="F17" s="100"/>
      <c r="G17" s="100"/>
      <c r="H17" s="187"/>
      <c r="I17" s="3" t="s">
        <v>178</v>
      </c>
      <c r="J17" s="267">
        <v>2000</v>
      </c>
      <c r="K17" s="3">
        <f>150*3</f>
        <v>450</v>
      </c>
      <c r="L17" s="3">
        <f>K17</f>
        <v>450</v>
      </c>
      <c r="M17" s="3">
        <v>450</v>
      </c>
      <c r="N17" s="287">
        <f>SUM(J17:M17)</f>
        <v>3350</v>
      </c>
      <c r="O17" s="3">
        <v>2000</v>
      </c>
      <c r="P17" s="3">
        <v>2000</v>
      </c>
    </row>
    <row r="18" spans="1:18" ht="33" x14ac:dyDescent="0.3">
      <c r="A18" s="5">
        <v>5</v>
      </c>
      <c r="B18" s="135" t="s">
        <v>179</v>
      </c>
      <c r="C18" s="100"/>
      <c r="D18" s="100"/>
      <c r="E18" s="100"/>
      <c r="F18" s="100"/>
      <c r="G18" s="100"/>
      <c r="H18" s="187"/>
      <c r="I18" s="219" t="s">
        <v>182</v>
      </c>
      <c r="J18" s="267"/>
      <c r="K18" s="3"/>
      <c r="L18" s="3"/>
      <c r="M18" s="3"/>
      <c r="N18" s="287"/>
      <c r="O18" s="3"/>
      <c r="P18" s="3"/>
    </row>
    <row r="19" spans="1:18" ht="33" x14ac:dyDescent="0.3">
      <c r="A19" s="5">
        <v>6</v>
      </c>
      <c r="B19" s="136" t="s">
        <v>185</v>
      </c>
      <c r="C19" s="100"/>
      <c r="D19" s="100"/>
      <c r="E19" s="100"/>
      <c r="F19" s="100"/>
      <c r="G19" s="100"/>
      <c r="H19" s="187"/>
      <c r="I19" s="3" t="s">
        <v>186</v>
      </c>
      <c r="J19" s="267">
        <f>investitia!E53</f>
        <v>0</v>
      </c>
      <c r="K19" s="3"/>
      <c r="L19" s="3"/>
      <c r="M19" s="3"/>
      <c r="N19" s="287">
        <v>1500</v>
      </c>
      <c r="O19" s="3">
        <v>1500</v>
      </c>
      <c r="P19" s="3">
        <v>1500</v>
      </c>
    </row>
    <row r="20" spans="1:18" ht="16.5" x14ac:dyDescent="0.3">
      <c r="A20" s="5">
        <v>7</v>
      </c>
      <c r="B20" s="136" t="s">
        <v>183</v>
      </c>
      <c r="C20" s="100"/>
      <c r="D20" s="100"/>
      <c r="E20" s="100"/>
      <c r="F20" s="100"/>
      <c r="G20" s="100"/>
      <c r="H20" s="187"/>
      <c r="I20" s="3" t="s">
        <v>478</v>
      </c>
      <c r="J20" s="267">
        <v>0</v>
      </c>
      <c r="K20" s="3">
        <f>300*4.7*3</f>
        <v>4230</v>
      </c>
      <c r="L20" s="3">
        <f>K20</f>
        <v>4230</v>
      </c>
      <c r="M20" s="3">
        <f>L20</f>
        <v>4230</v>
      </c>
      <c r="N20" s="287">
        <f>SUM(J20:M20)</f>
        <v>12690</v>
      </c>
      <c r="O20" s="3">
        <f>M20*4</f>
        <v>16920</v>
      </c>
      <c r="P20" s="3">
        <f>O20</f>
        <v>16920</v>
      </c>
      <c r="Q20">
        <f>P20/12</f>
        <v>1410</v>
      </c>
    </row>
    <row r="21" spans="1:18" ht="16.5" x14ac:dyDescent="0.3">
      <c r="A21" s="5">
        <v>8</v>
      </c>
      <c r="B21" s="136" t="s">
        <v>162</v>
      </c>
      <c r="C21" s="100"/>
      <c r="D21" s="100"/>
      <c r="E21" s="100"/>
      <c r="F21" s="100"/>
      <c r="G21" s="100"/>
      <c r="H21" s="187"/>
      <c r="I21" s="3"/>
      <c r="J21" s="267"/>
      <c r="K21" s="3"/>
      <c r="L21" s="3"/>
      <c r="M21" s="3"/>
      <c r="N21" s="287"/>
      <c r="O21" s="3"/>
      <c r="P21" s="3"/>
    </row>
    <row r="22" spans="1:18" ht="16.5" x14ac:dyDescent="0.3">
      <c r="A22" s="5"/>
      <c r="B22" s="132" t="s">
        <v>164</v>
      </c>
      <c r="C22" s="100"/>
      <c r="D22" s="100"/>
      <c r="E22" s="100"/>
      <c r="F22" s="100"/>
      <c r="G22" s="100"/>
      <c r="H22" s="187"/>
      <c r="I22" s="3" t="s">
        <v>184</v>
      </c>
      <c r="J22" s="267">
        <f>investitia!N15</f>
        <v>405.55555555555554</v>
      </c>
      <c r="K22" s="267">
        <f>investitia!O15</f>
        <v>1408.3333333333333</v>
      </c>
      <c r="L22" s="267">
        <f>investitia!P15</f>
        <v>1408.3333333333333</v>
      </c>
      <c r="M22" s="267">
        <f>investitia!Q15</f>
        <v>1408.3333333333333</v>
      </c>
      <c r="N22" s="287">
        <f>investitia!R15</f>
        <v>4630.5555555555557</v>
      </c>
      <c r="O22" s="267">
        <f>investitia!S15</f>
        <v>3233.3333333333335</v>
      </c>
      <c r="P22" s="267">
        <f>investitia!T15</f>
        <v>3233.3333333333335</v>
      </c>
    </row>
    <row r="23" spans="1:18" ht="33" x14ac:dyDescent="0.3">
      <c r="A23" s="5">
        <v>9</v>
      </c>
      <c r="B23" s="132" t="s">
        <v>167</v>
      </c>
      <c r="C23" s="100"/>
      <c r="D23" s="100"/>
      <c r="E23" s="100"/>
      <c r="F23" s="100"/>
      <c r="G23" s="100"/>
      <c r="H23" s="187"/>
      <c r="I23" s="219" t="s">
        <v>187</v>
      </c>
      <c r="J23" s="267">
        <f>investitia!E52+investitia!E47+investitia!E39</f>
        <v>13930</v>
      </c>
      <c r="K23" s="3"/>
      <c r="L23" s="3"/>
      <c r="M23" s="3"/>
      <c r="N23" s="287"/>
      <c r="O23" s="3"/>
      <c r="P23" s="3"/>
    </row>
    <row r="24" spans="1:18" ht="17.25" thickBot="1" x14ac:dyDescent="0.35">
      <c r="A24" s="191"/>
      <c r="B24" s="192" t="s">
        <v>136</v>
      </c>
      <c r="C24" s="193"/>
      <c r="D24" s="193"/>
      <c r="E24" s="193"/>
      <c r="F24" s="193"/>
      <c r="G24" s="193"/>
      <c r="H24" s="194"/>
      <c r="I24" s="195"/>
      <c r="J24" s="270">
        <f t="shared" ref="J24:P24" si="3">SUM(J14:J23)</f>
        <v>18610.555555555555</v>
      </c>
      <c r="K24" s="196">
        <f t="shared" si="3"/>
        <v>7963.333333333333</v>
      </c>
      <c r="L24" s="196">
        <f t="shared" si="3"/>
        <v>7963.333333333333</v>
      </c>
      <c r="M24" s="196">
        <f t="shared" si="3"/>
        <v>7963.333333333333</v>
      </c>
      <c r="N24" s="289">
        <f t="shared" si="3"/>
        <v>30070.555555555555</v>
      </c>
      <c r="O24" s="196">
        <f t="shared" si="3"/>
        <v>28453.333333333332</v>
      </c>
      <c r="P24" s="196">
        <f t="shared" si="3"/>
        <v>28453.333333333332</v>
      </c>
    </row>
    <row r="25" spans="1:18" ht="17.25" thickBot="1" x14ac:dyDescent="0.3">
      <c r="A25" s="478" t="s">
        <v>0</v>
      </c>
      <c r="B25" s="479"/>
      <c r="C25" s="479"/>
      <c r="D25" s="479"/>
      <c r="E25" s="479"/>
      <c r="F25" s="479"/>
      <c r="G25" s="479"/>
      <c r="H25" s="479"/>
      <c r="I25" s="479"/>
      <c r="J25" s="271">
        <f t="shared" ref="J25:P25" si="4">J12+J24</f>
        <v>26110.555555555555</v>
      </c>
      <c r="K25" s="197">
        <f t="shared" si="4"/>
        <v>71413.333333333328</v>
      </c>
      <c r="L25" s="197">
        <f t="shared" si="4"/>
        <v>144613.33333333334</v>
      </c>
      <c r="M25" s="197">
        <f t="shared" si="4"/>
        <v>92763.333333333328</v>
      </c>
      <c r="N25" s="271">
        <f t="shared" si="4"/>
        <v>322470.55555555556</v>
      </c>
      <c r="O25" s="197">
        <f t="shared" si="4"/>
        <v>362653.33333333331</v>
      </c>
      <c r="P25" s="198">
        <f t="shared" si="4"/>
        <v>416253.33333333331</v>
      </c>
      <c r="R25" s="190">
        <f>N25+O25+P25</f>
        <v>1101377.2222222222</v>
      </c>
    </row>
    <row r="26" spans="1:18" ht="16.5" x14ac:dyDescent="0.3">
      <c r="A26" s="111"/>
      <c r="B26" s="111"/>
      <c r="C26" s="111"/>
      <c r="D26" s="111"/>
      <c r="E26" s="111"/>
      <c r="F26" s="111"/>
      <c r="G26" s="111"/>
      <c r="H26" s="111"/>
      <c r="I26" s="111"/>
      <c r="J26" s="276"/>
      <c r="K26" s="111"/>
      <c r="L26" s="111"/>
      <c r="M26" s="112"/>
      <c r="N26" s="272"/>
      <c r="O26" s="112"/>
      <c r="P26" s="112"/>
    </row>
    <row r="27" spans="1:18" ht="16.5" x14ac:dyDescent="0.3">
      <c r="A27" s="111"/>
      <c r="B27" s="111"/>
      <c r="C27" s="111"/>
      <c r="D27" s="111"/>
      <c r="E27" s="111"/>
      <c r="F27" s="111"/>
      <c r="G27" s="111"/>
      <c r="H27" s="111"/>
      <c r="I27" s="111"/>
      <c r="J27" s="276"/>
      <c r="K27" s="111"/>
      <c r="L27" s="111"/>
      <c r="M27" s="112"/>
      <c r="N27" s="272"/>
      <c r="O27" s="112"/>
      <c r="P27" s="112"/>
    </row>
    <row r="28" spans="1:18" ht="16.5" x14ac:dyDescent="0.3">
      <c r="A28" s="453"/>
      <c r="B28" s="453"/>
      <c r="C28" s="453"/>
      <c r="D28" s="453"/>
      <c r="E28" s="176"/>
      <c r="F28" s="176"/>
      <c r="G28" s="176"/>
      <c r="H28" s="176"/>
      <c r="I28" s="176"/>
      <c r="J28" s="273"/>
      <c r="K28" s="176"/>
      <c r="L28" s="176"/>
      <c r="M28" s="176" t="s">
        <v>272</v>
      </c>
      <c r="N28" s="273" t="s">
        <v>273</v>
      </c>
      <c r="O28" s="176" t="s">
        <v>287</v>
      </c>
      <c r="P28" s="112"/>
    </row>
    <row r="29" spans="1:18" ht="14.45" customHeight="1" x14ac:dyDescent="0.25">
      <c r="A29" s="176"/>
      <c r="B29" s="221" t="str">
        <f>B12</f>
        <v>Total cheltuieli directe</v>
      </c>
      <c r="C29" s="221"/>
      <c r="D29" s="222"/>
      <c r="E29" s="223"/>
      <c r="F29" s="224"/>
      <c r="G29" s="224"/>
      <c r="H29" s="224"/>
      <c r="I29" s="225"/>
      <c r="J29" s="274"/>
      <c r="K29" s="225"/>
      <c r="L29" s="225" t="s">
        <v>288</v>
      </c>
      <c r="M29" s="225">
        <f t="shared" ref="M29:P29" si="5">N12</f>
        <v>292400</v>
      </c>
      <c r="N29" s="274">
        <f t="shared" si="5"/>
        <v>334200</v>
      </c>
      <c r="O29" s="225">
        <f t="shared" si="5"/>
        <v>387800</v>
      </c>
      <c r="P29" s="220">
        <f t="shared" si="5"/>
        <v>0</v>
      </c>
    </row>
    <row r="30" spans="1:18" ht="25.5" x14ac:dyDescent="0.25">
      <c r="A30" s="111"/>
      <c r="B30" s="475" t="str">
        <f>B24</f>
        <v xml:space="preserve">Total cheltuieli indirecte </v>
      </c>
      <c r="C30" s="475"/>
      <c r="D30" s="226"/>
      <c r="E30" s="227"/>
      <c r="F30" s="227"/>
      <c r="G30" s="227"/>
      <c r="H30" s="227"/>
      <c r="I30" s="226"/>
      <c r="J30" s="275"/>
      <c r="K30" s="226"/>
      <c r="L30" s="226" t="s">
        <v>289</v>
      </c>
      <c r="M30" s="226">
        <f t="shared" ref="M30:P30" si="6">N24</f>
        <v>30070.555555555555</v>
      </c>
      <c r="N30" s="275">
        <f t="shared" si="6"/>
        <v>28453.333333333332</v>
      </c>
      <c r="O30" s="226">
        <f t="shared" si="6"/>
        <v>28453.333333333332</v>
      </c>
      <c r="P30" s="180">
        <f t="shared" si="6"/>
        <v>0</v>
      </c>
    </row>
    <row r="31" spans="1:18" ht="16.5" x14ac:dyDescent="0.25">
      <c r="A31" s="111"/>
      <c r="B31" s="475" t="str">
        <f>A25</f>
        <v>TOTAL CHELTUIELI</v>
      </c>
      <c r="C31" s="475"/>
      <c r="D31" s="226"/>
      <c r="E31" s="226"/>
      <c r="F31" s="226"/>
      <c r="G31" s="226"/>
      <c r="H31" s="226"/>
      <c r="I31" s="226"/>
      <c r="J31" s="275"/>
      <c r="K31" s="226"/>
      <c r="L31" s="226"/>
      <c r="M31" s="226">
        <f t="shared" ref="M31:P31" si="7">N25</f>
        <v>322470.55555555556</v>
      </c>
      <c r="N31" s="275">
        <f t="shared" si="7"/>
        <v>362653.33333333331</v>
      </c>
      <c r="O31" s="226">
        <f t="shared" si="7"/>
        <v>416253.33333333331</v>
      </c>
      <c r="P31" s="111">
        <f t="shared" si="7"/>
        <v>0</v>
      </c>
    </row>
    <row r="32" spans="1:18" ht="16.5" x14ac:dyDescent="0.3">
      <c r="A32" s="111"/>
      <c r="B32" s="459"/>
      <c r="C32" s="459"/>
      <c r="D32" s="111"/>
      <c r="E32" s="111"/>
      <c r="F32" s="111"/>
      <c r="G32" s="111"/>
      <c r="H32" s="111"/>
      <c r="I32" s="111"/>
      <c r="J32" s="276"/>
      <c r="K32" s="111"/>
      <c r="L32" s="111"/>
      <c r="M32" s="111"/>
      <c r="N32" s="272"/>
      <c r="O32" s="112"/>
      <c r="P32" s="112"/>
    </row>
    <row r="33" spans="1:16" ht="16.5" x14ac:dyDescent="0.3">
      <c r="A33" s="111"/>
      <c r="B33" s="459"/>
      <c r="C33" s="459"/>
      <c r="D33" s="111"/>
      <c r="E33" s="111"/>
      <c r="F33" s="111"/>
      <c r="G33" s="111"/>
      <c r="H33" s="111"/>
      <c r="I33" s="111"/>
      <c r="J33" s="276"/>
      <c r="K33" s="111"/>
      <c r="L33" s="111"/>
      <c r="M33" s="111"/>
      <c r="N33" s="272"/>
      <c r="O33" s="112"/>
      <c r="P33" s="112"/>
    </row>
    <row r="34" spans="1:16" ht="16.5" x14ac:dyDescent="0.3">
      <c r="A34" s="111"/>
      <c r="B34" s="459"/>
      <c r="C34" s="459"/>
      <c r="D34" s="111"/>
      <c r="E34" s="111"/>
      <c r="F34" s="111"/>
      <c r="G34" s="111"/>
      <c r="H34" s="111"/>
      <c r="I34" s="111"/>
      <c r="J34" s="276"/>
      <c r="K34" s="111"/>
      <c r="L34" s="111"/>
      <c r="M34" s="111"/>
      <c r="N34" s="272"/>
      <c r="O34" s="112"/>
      <c r="P34" s="112"/>
    </row>
    <row r="35" spans="1:16" ht="16.5" x14ac:dyDescent="0.3">
      <c r="A35" s="176"/>
      <c r="B35" s="176"/>
      <c r="C35" s="176"/>
      <c r="D35" s="176"/>
      <c r="E35" s="111"/>
      <c r="F35" s="111"/>
      <c r="G35" s="111"/>
      <c r="H35" s="111"/>
      <c r="I35" s="111"/>
      <c r="J35" s="276"/>
      <c r="K35" s="111"/>
      <c r="L35" s="111"/>
      <c r="M35" s="111"/>
      <c r="N35" s="272"/>
      <c r="O35" s="112"/>
      <c r="P35" s="112"/>
    </row>
    <row r="36" spans="1:16" ht="16.5" x14ac:dyDescent="0.3">
      <c r="A36" s="176"/>
      <c r="B36" s="176"/>
      <c r="C36" s="176" t="s">
        <v>143</v>
      </c>
      <c r="D36" s="176" t="s">
        <v>282</v>
      </c>
      <c r="E36" s="176" t="s">
        <v>266</v>
      </c>
      <c r="F36" s="111"/>
      <c r="G36" s="111"/>
      <c r="H36" s="111"/>
      <c r="I36" s="111"/>
      <c r="J36" s="276"/>
      <c r="K36" s="111"/>
      <c r="L36" s="111"/>
      <c r="M36" s="111"/>
      <c r="N36" s="276"/>
      <c r="O36" s="112"/>
      <c r="P36" s="112"/>
    </row>
    <row r="37" spans="1:16" ht="16.5" x14ac:dyDescent="0.3">
      <c r="A37" s="111"/>
      <c r="B37" s="221" t="s">
        <v>283</v>
      </c>
      <c r="C37" s="221">
        <f>M29</f>
        <v>292400</v>
      </c>
      <c r="D37" s="221">
        <f t="shared" ref="D37:E39" si="8">N29</f>
        <v>334200</v>
      </c>
      <c r="E37" s="221">
        <f t="shared" si="8"/>
        <v>387800</v>
      </c>
      <c r="F37" s="111"/>
      <c r="G37" s="111"/>
      <c r="H37" s="111"/>
      <c r="I37" s="111"/>
      <c r="J37" s="276"/>
      <c r="K37" s="111"/>
      <c r="L37" s="111"/>
      <c r="M37" s="112"/>
      <c r="N37" s="272"/>
      <c r="O37" s="112"/>
      <c r="P37" s="112"/>
    </row>
    <row r="38" spans="1:16" ht="16.5" x14ac:dyDescent="0.3">
      <c r="A38" s="111"/>
      <c r="B38" s="265" t="s">
        <v>284</v>
      </c>
      <c r="C38" s="221">
        <f t="shared" ref="C38:C39" si="9">M30</f>
        <v>30070.555555555555</v>
      </c>
      <c r="D38" s="221">
        <f t="shared" si="8"/>
        <v>28453.333333333332</v>
      </c>
      <c r="E38" s="221">
        <f t="shared" si="8"/>
        <v>28453.333333333332</v>
      </c>
      <c r="F38" s="111"/>
      <c r="G38" s="111"/>
      <c r="H38" s="111"/>
      <c r="I38" s="111"/>
      <c r="J38" s="276"/>
      <c r="K38" s="111"/>
      <c r="L38" s="111"/>
      <c r="M38" s="112"/>
      <c r="N38" s="272"/>
      <c r="O38" s="112"/>
      <c r="P38" s="112"/>
    </row>
    <row r="39" spans="1:16" x14ac:dyDescent="0.25">
      <c r="B39" s="265" t="s">
        <v>285</v>
      </c>
      <c r="C39" s="221">
        <f t="shared" si="9"/>
        <v>322470.55555555556</v>
      </c>
      <c r="D39" s="221">
        <f t="shared" si="8"/>
        <v>362653.33333333331</v>
      </c>
      <c r="E39" s="221">
        <f t="shared" si="8"/>
        <v>416253.33333333331</v>
      </c>
    </row>
    <row r="48" spans="1:16" x14ac:dyDescent="0.25">
      <c r="I48" s="266"/>
      <c r="K48" s="266"/>
      <c r="L48" s="266"/>
      <c r="M48" s="266"/>
      <c r="O48" s="266"/>
    </row>
    <row r="49" spans="9:15" x14ac:dyDescent="0.25">
      <c r="I49" s="266"/>
      <c r="K49" s="266"/>
      <c r="L49" s="266"/>
      <c r="M49" s="266"/>
      <c r="O49" s="266"/>
    </row>
    <row r="50" spans="9:15" x14ac:dyDescent="0.25">
      <c r="I50" s="266"/>
      <c r="K50" s="266"/>
      <c r="L50" s="266"/>
      <c r="M50" s="266"/>
      <c r="O50" s="266"/>
    </row>
    <row r="51" spans="9:15" x14ac:dyDescent="0.25">
      <c r="I51" s="266"/>
      <c r="K51" s="266"/>
      <c r="L51" s="266"/>
      <c r="M51" s="266"/>
      <c r="O51" s="266"/>
    </row>
    <row r="52" spans="9:15" x14ac:dyDescent="0.25">
      <c r="I52" s="266"/>
      <c r="K52" s="266"/>
      <c r="L52" s="266"/>
      <c r="M52" s="266"/>
      <c r="O52" s="266"/>
    </row>
  </sheetData>
  <mergeCells count="16">
    <mergeCell ref="B32:C32"/>
    <mergeCell ref="B33:C33"/>
    <mergeCell ref="B34:C34"/>
    <mergeCell ref="A2:P2"/>
    <mergeCell ref="J3:M3"/>
    <mergeCell ref="N3:N4"/>
    <mergeCell ref="B31:C31"/>
    <mergeCell ref="A13:B13"/>
    <mergeCell ref="A25:I25"/>
    <mergeCell ref="A28:D28"/>
    <mergeCell ref="B30:C30"/>
    <mergeCell ref="A3:B4"/>
    <mergeCell ref="C3:H3"/>
    <mergeCell ref="I3:I4"/>
    <mergeCell ref="O3:O4"/>
    <mergeCell ref="P3:P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7</vt:i4>
      </vt:variant>
      <vt:variant>
        <vt:lpstr>Zone denumite</vt:lpstr>
      </vt:variant>
      <vt:variant>
        <vt:i4>3</vt:i4>
      </vt:variant>
    </vt:vector>
  </HeadingPairs>
  <TitlesOfParts>
    <vt:vector size="10" baseType="lpstr">
      <vt:lpstr>FN - diasp</vt:lpstr>
      <vt:lpstr>SCV - diasp</vt:lpstr>
      <vt:lpstr>Utiliz Sv</vt:lpstr>
      <vt:lpstr>an 1</vt:lpstr>
      <vt:lpstr>investitia</vt:lpstr>
      <vt:lpstr>venituri</vt:lpstr>
      <vt:lpstr>cheltuieli</vt:lpstr>
      <vt:lpstr>'an 1'!Zona_de_imprimat</vt:lpstr>
      <vt:lpstr>cheltuieli!Zona_de_imprimat</vt:lpstr>
      <vt:lpstr>'Utiliz Sv'!Zona_de_imprimat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ElenaMiron</dc:creator>
  <cp:lastModifiedBy>User</cp:lastModifiedBy>
  <cp:lastPrinted>2019-04-08T16:36:28Z</cp:lastPrinted>
  <dcterms:created xsi:type="dcterms:W3CDTF">2018-03-15T20:08:52Z</dcterms:created>
  <dcterms:modified xsi:type="dcterms:W3CDTF">2019-04-09T06:58:30Z</dcterms:modified>
</cp:coreProperties>
</file>