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Override PartName="/xl/drawings/drawing2.xml" ContentType="application/vnd.openxmlformats-officedocument.drawing+xml"/>
  <Override PartName="/xl/charts/chart3.xml" ContentType="application/vnd.openxmlformats-officedocument.drawingml.chart+xml"/>
  <Override PartName="/xl/drawings/drawing3.xml" ContentType="application/vnd.openxmlformats-officedocument.drawing+xml"/>
  <Override PartName="/xl/charts/chart4.xml" ContentType="application/vnd.openxmlformats-officedocument.drawingml.chart+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1328"/>
  <workbookPr/>
  <mc:AlternateContent xmlns:mc="http://schemas.openxmlformats.org/markup-compatibility/2006">
    <mc:Choice Requires="x15">
      <x15ac:absPath xmlns:x15ac="http://schemas.microsoft.com/office/spreadsheetml/2010/11/ac" url="M:\1 Martie  materiale finale\"/>
    </mc:Choice>
  </mc:AlternateContent>
  <xr:revisionPtr revIDLastSave="0" documentId="13_ncr:1_{7F6F84E3-A9EC-4DD7-BC1C-C22B387920E4}" xr6:coauthVersionLast="41" xr6:coauthVersionMax="41" xr10:uidLastSave="{00000000-0000-0000-0000-000000000000}"/>
  <bookViews>
    <workbookView xWindow="-120" yWindow="-120" windowWidth="20730" windowHeight="11160" activeTab="3" xr2:uid="{00000000-000D-0000-FFFF-FFFF00000000}"/>
  </bookViews>
  <sheets>
    <sheet name="FN - diasp" sheetId="9" r:id="rId1"/>
    <sheet name="SCV - diasp" sheetId="8" r:id="rId2"/>
    <sheet name="buget grant" sheetId="11" r:id="rId3"/>
    <sheet name="an 1" sheetId="10" r:id="rId4"/>
    <sheet name="investitia" sheetId="5" r:id="rId5"/>
    <sheet name="venituri" sheetId="6" r:id="rId6"/>
    <sheet name="cheltuieli" sheetId="7" r:id="rId7"/>
  </sheets>
  <definedNames>
    <definedName name="_xlnm.Print_Area" localSheetId="6">cheltuieli!$A$3:$B$24</definedName>
  </definedNames>
  <calcPr calcId="181029"/>
</workbook>
</file>

<file path=xl/calcChain.xml><?xml version="1.0" encoding="utf-8"?>
<calcChain xmlns="http://schemas.openxmlformats.org/spreadsheetml/2006/main">
  <c r="G7" i="11" l="1"/>
  <c r="H7" i="11"/>
  <c r="G13" i="11"/>
  <c r="H13" i="11"/>
  <c r="G19" i="11"/>
  <c r="H19" i="11"/>
  <c r="G29" i="11"/>
  <c r="H29" i="11"/>
  <c r="G32" i="11"/>
  <c r="H32" i="11"/>
  <c r="G36" i="11"/>
  <c r="H36" i="11"/>
  <c r="F36" i="11"/>
  <c r="G40" i="11"/>
  <c r="H40" i="11"/>
  <c r="F40" i="11"/>
  <c r="G44" i="11"/>
  <c r="H44" i="11"/>
  <c r="F44" i="11"/>
  <c r="G52" i="11"/>
  <c r="H52" i="11"/>
  <c r="F52" i="11"/>
  <c r="G55" i="11"/>
  <c r="H55" i="11"/>
  <c r="G59" i="11"/>
  <c r="H59" i="11"/>
  <c r="F59" i="11"/>
  <c r="G63" i="11"/>
  <c r="H63" i="11"/>
  <c r="F63" i="11"/>
  <c r="G74" i="11"/>
  <c r="H74" i="11"/>
  <c r="F74" i="11"/>
  <c r="G67" i="11"/>
  <c r="H67" i="11"/>
  <c r="F76" i="11"/>
  <c r="B101" i="10"/>
  <c r="C113" i="10"/>
  <c r="C110" i="10"/>
  <c r="L109" i="10"/>
  <c r="E109" i="10"/>
  <c r="C114" i="10" l="1"/>
  <c r="D108" i="10" s="1"/>
  <c r="D110" i="10" s="1"/>
  <c r="H75" i="11"/>
  <c r="G75" i="11"/>
  <c r="E51" i="10"/>
  <c r="C7" i="5" l="1"/>
  <c r="P29" i="7" l="1"/>
  <c r="P30" i="7"/>
  <c r="P31" i="7"/>
  <c r="W8" i="6"/>
  <c r="V8" i="6"/>
  <c r="K43" i="10"/>
  <c r="K111" i="10" s="1"/>
  <c r="L43" i="10"/>
  <c r="L111" i="10" s="1"/>
  <c r="N43" i="10"/>
  <c r="N111" i="10" s="1"/>
  <c r="E40" i="10"/>
  <c r="P40" i="10" s="1"/>
  <c r="F17" i="11" s="1"/>
  <c r="E23" i="10"/>
  <c r="F23" i="10"/>
  <c r="G23" i="10"/>
  <c r="H23" i="10"/>
  <c r="I23" i="10"/>
  <c r="J23" i="10"/>
  <c r="K23" i="10"/>
  <c r="L23" i="10"/>
  <c r="M23" i="10"/>
  <c r="N23" i="10"/>
  <c r="O23" i="10"/>
  <c r="D23" i="10"/>
  <c r="E27" i="10"/>
  <c r="F27" i="10"/>
  <c r="G27" i="10"/>
  <c r="H27" i="10"/>
  <c r="I27" i="10"/>
  <c r="J27" i="10"/>
  <c r="K27" i="10"/>
  <c r="L27" i="10"/>
  <c r="M27" i="10"/>
  <c r="N27" i="10"/>
  <c r="O27" i="10"/>
  <c r="D27" i="10"/>
  <c r="G31" i="10"/>
  <c r="H31" i="10"/>
  <c r="I31" i="10"/>
  <c r="J31" i="10"/>
  <c r="K31" i="10"/>
  <c r="M31" i="10"/>
  <c r="N31" i="10"/>
  <c r="O31" i="10"/>
  <c r="D31" i="10"/>
  <c r="E58" i="10"/>
  <c r="F58" i="10"/>
  <c r="G58" i="10"/>
  <c r="H58" i="10"/>
  <c r="I58" i="10"/>
  <c r="J58" i="10"/>
  <c r="K58" i="10"/>
  <c r="L58" i="10"/>
  <c r="M58" i="10"/>
  <c r="N58" i="10"/>
  <c r="O58" i="10"/>
  <c r="D58" i="10"/>
  <c r="E70" i="10"/>
  <c r="F70" i="10"/>
  <c r="G70" i="10"/>
  <c r="H70" i="10"/>
  <c r="I70" i="10"/>
  <c r="J70" i="10"/>
  <c r="K70" i="10"/>
  <c r="L70" i="10"/>
  <c r="M70" i="10"/>
  <c r="N70" i="10"/>
  <c r="O70" i="10"/>
  <c r="D70" i="10"/>
  <c r="E73" i="10"/>
  <c r="F73" i="10"/>
  <c r="G73" i="10"/>
  <c r="H73" i="10"/>
  <c r="I73" i="10"/>
  <c r="J73" i="10"/>
  <c r="K73" i="10"/>
  <c r="L73" i="10"/>
  <c r="M73" i="10"/>
  <c r="N73" i="10"/>
  <c r="O73" i="10"/>
  <c r="D73" i="10"/>
  <c r="E64" i="10"/>
  <c r="F64" i="10"/>
  <c r="G64" i="10"/>
  <c r="H64" i="10"/>
  <c r="I64" i="10"/>
  <c r="J64" i="10"/>
  <c r="K64" i="10"/>
  <c r="L64" i="10"/>
  <c r="M64" i="10"/>
  <c r="N64" i="10"/>
  <c r="O64" i="10"/>
  <c r="D64" i="10"/>
  <c r="E76" i="10"/>
  <c r="F76" i="10"/>
  <c r="G76" i="10"/>
  <c r="H76" i="10"/>
  <c r="I76" i="10"/>
  <c r="J76" i="10"/>
  <c r="K76" i="10"/>
  <c r="L76" i="10"/>
  <c r="M76" i="10"/>
  <c r="N76" i="10"/>
  <c r="O76" i="10"/>
  <c r="D76" i="10"/>
  <c r="E81" i="10"/>
  <c r="F81" i="10"/>
  <c r="G81" i="10"/>
  <c r="H81" i="10"/>
  <c r="I81" i="10"/>
  <c r="J81" i="10"/>
  <c r="K81" i="10"/>
  <c r="L81" i="10"/>
  <c r="M81" i="10"/>
  <c r="N81" i="10"/>
  <c r="O81" i="10"/>
  <c r="D81" i="10"/>
  <c r="E85" i="10"/>
  <c r="F85" i="10"/>
  <c r="G85" i="10"/>
  <c r="H85" i="10"/>
  <c r="I85" i="10"/>
  <c r="J85" i="10"/>
  <c r="K85" i="10"/>
  <c r="L85" i="10"/>
  <c r="M85" i="10"/>
  <c r="N85" i="10"/>
  <c r="O85" i="10"/>
  <c r="D85" i="10"/>
  <c r="F89" i="10"/>
  <c r="G89" i="10"/>
  <c r="H89" i="10"/>
  <c r="I89" i="10"/>
  <c r="J89" i="10"/>
  <c r="K89" i="10"/>
  <c r="L89" i="10"/>
  <c r="M89" i="10"/>
  <c r="N89" i="10"/>
  <c r="O89" i="10"/>
  <c r="E96" i="10"/>
  <c r="F96" i="10"/>
  <c r="G96" i="10"/>
  <c r="H96" i="10"/>
  <c r="I96" i="10"/>
  <c r="J96" i="10"/>
  <c r="K96" i="10"/>
  <c r="L96" i="10"/>
  <c r="M96" i="10"/>
  <c r="N96" i="10"/>
  <c r="O96" i="10"/>
  <c r="D96" i="10"/>
  <c r="P18" i="10"/>
  <c r="P19" i="10"/>
  <c r="P20" i="10"/>
  <c r="P21" i="10"/>
  <c r="P24" i="10"/>
  <c r="P25" i="10"/>
  <c r="P26" i="10"/>
  <c r="P28" i="10"/>
  <c r="P29" i="10"/>
  <c r="P30" i="10"/>
  <c r="P32" i="10"/>
  <c r="P33" i="10"/>
  <c r="P34" i="10"/>
  <c r="P36" i="10"/>
  <c r="P39" i="10"/>
  <c r="F15" i="11" s="1"/>
  <c r="P41" i="10"/>
  <c r="P42" i="10"/>
  <c r="P47" i="10"/>
  <c r="F27" i="11" s="1"/>
  <c r="P50" i="10"/>
  <c r="P52" i="10"/>
  <c r="F31" i="11" s="1"/>
  <c r="F32" i="11" s="1"/>
  <c r="P53" i="10"/>
  <c r="P54" i="10"/>
  <c r="P55" i="10"/>
  <c r="P56" i="10"/>
  <c r="P57" i="10"/>
  <c r="P58" i="10"/>
  <c r="P59" i="10"/>
  <c r="P60" i="10"/>
  <c r="P61" i="10"/>
  <c r="P62" i="10"/>
  <c r="P63" i="10"/>
  <c r="P65" i="10"/>
  <c r="P66" i="10"/>
  <c r="P67" i="10"/>
  <c r="P68" i="10"/>
  <c r="P69" i="10"/>
  <c r="P71" i="10"/>
  <c r="P72" i="10"/>
  <c r="P74" i="10"/>
  <c r="P75" i="10"/>
  <c r="P77" i="10"/>
  <c r="P78" i="10"/>
  <c r="P80" i="10"/>
  <c r="P82" i="10"/>
  <c r="P83" i="10"/>
  <c r="P84" i="10"/>
  <c r="P86" i="10"/>
  <c r="P87" i="10"/>
  <c r="P88" i="10"/>
  <c r="P90" i="10"/>
  <c r="P91" i="10"/>
  <c r="P92" i="10"/>
  <c r="P93" i="10"/>
  <c r="P94" i="10"/>
  <c r="P95" i="10"/>
  <c r="P97" i="10"/>
  <c r="P98" i="10"/>
  <c r="P99" i="10"/>
  <c r="P100" i="10"/>
  <c r="F51" i="10"/>
  <c r="G51" i="10"/>
  <c r="H51" i="10"/>
  <c r="I51" i="10"/>
  <c r="J51" i="10"/>
  <c r="K51" i="10"/>
  <c r="L51" i="10"/>
  <c r="M51" i="10"/>
  <c r="N51" i="10"/>
  <c r="O51" i="10"/>
  <c r="D51" i="10"/>
  <c r="F43" i="10"/>
  <c r="F111" i="10" s="1"/>
  <c r="I43" i="10"/>
  <c r="I111" i="10" s="1"/>
  <c r="M43" i="10"/>
  <c r="M111" i="10" s="1"/>
  <c r="D43" i="10"/>
  <c r="D111" i="10" s="1"/>
  <c r="P46" i="10"/>
  <c r="F22" i="11" s="1"/>
  <c r="P45" i="10"/>
  <c r="D37" i="10"/>
  <c r="E38" i="10"/>
  <c r="F38" i="10" s="1"/>
  <c r="G38" i="10" s="1"/>
  <c r="H38" i="10" s="1"/>
  <c r="I38" i="10" s="1"/>
  <c r="J38" i="10" s="1"/>
  <c r="K38" i="10" s="1"/>
  <c r="L38" i="10" s="1"/>
  <c r="M38" i="10" s="1"/>
  <c r="N38" i="10" s="1"/>
  <c r="O38" i="10" s="1"/>
  <c r="O37" i="10" s="1"/>
  <c r="E15" i="10"/>
  <c r="F15" i="10"/>
  <c r="G15" i="10"/>
  <c r="H15" i="10"/>
  <c r="I15" i="10"/>
  <c r="J15" i="10"/>
  <c r="K15" i="10"/>
  <c r="L15" i="10"/>
  <c r="M15" i="10"/>
  <c r="N15" i="10"/>
  <c r="O15" i="10"/>
  <c r="D15" i="10"/>
  <c r="D12" i="10"/>
  <c r="P13" i="10"/>
  <c r="E14" i="10"/>
  <c r="E12" i="10" s="1"/>
  <c r="D6" i="10"/>
  <c r="Q8" i="10"/>
  <c r="Q16" i="10"/>
  <c r="Q17" i="10"/>
  <c r="P17" i="10"/>
  <c r="Q1" i="10"/>
  <c r="Q2" i="10" s="1"/>
  <c r="P16" i="10"/>
  <c r="P8" i="10"/>
  <c r="D9" i="9"/>
  <c r="I8" i="6"/>
  <c r="Q8" i="6" s="1"/>
  <c r="P5" i="7" s="1"/>
  <c r="P8" i="7"/>
  <c r="O8" i="7"/>
  <c r="K8" i="7"/>
  <c r="L8" i="7"/>
  <c r="M8" i="7"/>
  <c r="G6" i="6"/>
  <c r="N6" i="6" s="1"/>
  <c r="F6" i="6"/>
  <c r="M6" i="6" s="1"/>
  <c r="Y6" i="6" s="1"/>
  <c r="E7" i="6"/>
  <c r="H7" i="6" s="1"/>
  <c r="P7" i="6" s="1"/>
  <c r="AB7" i="6" s="1"/>
  <c r="E6" i="6"/>
  <c r="H6" i="6" s="1"/>
  <c r="P6" i="6" s="1"/>
  <c r="AB6" i="6" s="1"/>
  <c r="D15" i="8"/>
  <c r="E17" i="9" s="1"/>
  <c r="E15" i="8"/>
  <c r="F17" i="9" s="1"/>
  <c r="C15" i="8"/>
  <c r="D17" i="9" s="1"/>
  <c r="P14" i="7"/>
  <c r="E14" i="8" s="1"/>
  <c r="F16" i="9" s="1"/>
  <c r="O14" i="7"/>
  <c r="D14" i="8" s="1"/>
  <c r="E16" i="9" s="1"/>
  <c r="P10" i="7"/>
  <c r="O10" i="7"/>
  <c r="O7" i="7"/>
  <c r="K10" i="7"/>
  <c r="K20" i="7"/>
  <c r="C6" i="5"/>
  <c r="P44" i="10" s="1"/>
  <c r="T7" i="7"/>
  <c r="T8" i="7" s="1"/>
  <c r="Q9" i="6"/>
  <c r="P9" i="6"/>
  <c r="AB9" i="6" s="1"/>
  <c r="I6" i="6"/>
  <c r="Q6" i="6" s="1"/>
  <c r="N7" i="6"/>
  <c r="Z7" i="6" s="1"/>
  <c r="N8" i="6"/>
  <c r="N9" i="6"/>
  <c r="Z9" i="6" s="1"/>
  <c r="M9" i="6"/>
  <c r="F8" i="6"/>
  <c r="M8" i="6" s="1"/>
  <c r="Y8" i="6" s="1"/>
  <c r="F7" i="6"/>
  <c r="I7" i="6" s="1"/>
  <c r="Q7" i="6" s="1"/>
  <c r="L7" i="6"/>
  <c r="X7" i="6" s="1"/>
  <c r="E8" i="6"/>
  <c r="L8" i="6" s="1"/>
  <c r="X8" i="6" s="1"/>
  <c r="L9" i="6"/>
  <c r="X9" i="6" s="1"/>
  <c r="D24" i="8"/>
  <c r="E24" i="8"/>
  <c r="C24" i="8"/>
  <c r="F21" i="11" l="1"/>
  <c r="P89" i="10"/>
  <c r="F65" i="11" s="1"/>
  <c r="F67" i="11" s="1"/>
  <c r="L6" i="6"/>
  <c r="X6" i="6" s="1"/>
  <c r="M7" i="6"/>
  <c r="Y7" i="6" s="1"/>
  <c r="K5" i="7"/>
  <c r="N8" i="7"/>
  <c r="P73" i="10"/>
  <c r="G43" i="10"/>
  <c r="G111" i="10" s="1"/>
  <c r="O43" i="10"/>
  <c r="O111" i="10" s="1"/>
  <c r="J43" i="10"/>
  <c r="J111" i="10" s="1"/>
  <c r="H43" i="10"/>
  <c r="H111" i="10" s="1"/>
  <c r="P27" i="10"/>
  <c r="P76" i="10"/>
  <c r="P70" i="10"/>
  <c r="P81" i="10"/>
  <c r="P31" i="10"/>
  <c r="F11" i="11" s="1"/>
  <c r="F13" i="11" s="1"/>
  <c r="P48" i="10"/>
  <c r="P96" i="10"/>
  <c r="Y9" i="6"/>
  <c r="P7" i="7"/>
  <c r="E9" i="8" s="1"/>
  <c r="D9" i="8"/>
  <c r="M6" i="7"/>
  <c r="Z6" i="6"/>
  <c r="Z8" i="6"/>
  <c r="M5" i="7"/>
  <c r="L5" i="7"/>
  <c r="D22" i="10"/>
  <c r="P22" i="10" s="1"/>
  <c r="L6" i="7"/>
  <c r="H8" i="6"/>
  <c r="P8" i="6" s="1"/>
  <c r="O8" i="6"/>
  <c r="P51" i="10"/>
  <c r="P23" i="10"/>
  <c r="P64" i="10"/>
  <c r="P38" i="10"/>
  <c r="F18" i="11" s="1"/>
  <c r="F19" i="11" s="1"/>
  <c r="P85" i="10"/>
  <c r="K37" i="10"/>
  <c r="G37" i="10"/>
  <c r="N37" i="10"/>
  <c r="J37" i="10"/>
  <c r="F37" i="10"/>
  <c r="M37" i="10"/>
  <c r="I37" i="10"/>
  <c r="E37" i="10"/>
  <c r="F14" i="10"/>
  <c r="G14" i="10" s="1"/>
  <c r="H14" i="10" s="1"/>
  <c r="I14" i="10" s="1"/>
  <c r="J14" i="10" s="1"/>
  <c r="K14" i="10" s="1"/>
  <c r="L14" i="10" s="1"/>
  <c r="M14" i="10" s="1"/>
  <c r="N14" i="10" s="1"/>
  <c r="O14" i="10" s="1"/>
  <c r="O12" i="10" s="1"/>
  <c r="P15" i="10"/>
  <c r="F6" i="11" s="1"/>
  <c r="L37" i="10"/>
  <c r="H37" i="10"/>
  <c r="K12" i="10"/>
  <c r="D5" i="10"/>
  <c r="D103" i="10" s="1"/>
  <c r="D104" i="10" s="1"/>
  <c r="E6" i="10"/>
  <c r="E5" i="10" s="1"/>
  <c r="F7" i="10"/>
  <c r="Q10" i="6"/>
  <c r="P6" i="7"/>
  <c r="E8" i="8" s="1"/>
  <c r="F12" i="9" s="1"/>
  <c r="K6" i="7"/>
  <c r="O6" i="7"/>
  <c r="E10" i="8"/>
  <c r="B29" i="7"/>
  <c r="B31" i="7"/>
  <c r="B30" i="7"/>
  <c r="D112" i="10" l="1"/>
  <c r="AB8" i="6"/>
  <c r="O5" i="7"/>
  <c r="D11" i="8"/>
  <c r="E13" i="9"/>
  <c r="D10" i="8"/>
  <c r="D8" i="8"/>
  <c r="E12" i="9" s="1"/>
  <c r="P10" i="6"/>
  <c r="E5" i="8"/>
  <c r="E7" i="8" s="1"/>
  <c r="F6" i="9"/>
  <c r="F5" i="9" s="1"/>
  <c r="H12" i="10"/>
  <c r="AA8" i="6"/>
  <c r="N5" i="7"/>
  <c r="E11" i="8"/>
  <c r="F13" i="9"/>
  <c r="P37" i="10"/>
  <c r="P14" i="10"/>
  <c r="L12" i="10"/>
  <c r="F12" i="10"/>
  <c r="I12" i="10"/>
  <c r="J12" i="10"/>
  <c r="G12" i="10"/>
  <c r="M12" i="10"/>
  <c r="N12" i="10"/>
  <c r="G7" i="10"/>
  <c r="F6" i="10"/>
  <c r="E11" i="5"/>
  <c r="D113" i="10" l="1"/>
  <c r="D114" i="10" s="1"/>
  <c r="E108" i="10" s="1"/>
  <c r="E110" i="10" s="1"/>
  <c r="E25" i="8"/>
  <c r="E16" i="8"/>
  <c r="F18" i="9" s="1"/>
  <c r="J21" i="8"/>
  <c r="D5" i="8"/>
  <c r="D7" i="8" s="1"/>
  <c r="E6" i="9"/>
  <c r="E5" i="9" s="1"/>
  <c r="F5" i="10"/>
  <c r="P12" i="10"/>
  <c r="F5" i="11" s="1"/>
  <c r="H7" i="10"/>
  <c r="G6" i="10"/>
  <c r="G5" i="10" s="1"/>
  <c r="G103" i="10" s="1"/>
  <c r="G104" i="10" s="1"/>
  <c r="G112" i="10" s="1"/>
  <c r="G113" i="10" s="1"/>
  <c r="E52" i="5"/>
  <c r="E53" i="5"/>
  <c r="E51" i="5"/>
  <c r="J14" i="7" s="1"/>
  <c r="E18" i="5"/>
  <c r="E17" i="5" s="1"/>
  <c r="D25" i="8" l="1"/>
  <c r="I21" i="8"/>
  <c r="D16" i="8"/>
  <c r="E18" i="9" s="1"/>
  <c r="I7" i="10"/>
  <c r="H6" i="10"/>
  <c r="H5" i="10" s="1"/>
  <c r="H103" i="10" s="1"/>
  <c r="H104" i="10" s="1"/>
  <c r="H112" i="10" s="1"/>
  <c r="H113" i="10" s="1"/>
  <c r="E50" i="5"/>
  <c r="C60" i="5" s="1"/>
  <c r="L20" i="7"/>
  <c r="E7" i="5"/>
  <c r="E6" i="5"/>
  <c r="E8" i="5"/>
  <c r="E9" i="5"/>
  <c r="E10" i="5"/>
  <c r="E13" i="5"/>
  <c r="E12" i="5" s="1"/>
  <c r="L6" i="5" s="1"/>
  <c r="E32" i="5"/>
  <c r="K6" i="6"/>
  <c r="W6" i="6" s="1"/>
  <c r="K7" i="6"/>
  <c r="K9" i="6"/>
  <c r="E42" i="5"/>
  <c r="E43" i="5"/>
  <c r="E25" i="5"/>
  <c r="L10" i="5" s="1"/>
  <c r="L12" i="5"/>
  <c r="L13" i="5"/>
  <c r="O13" i="5"/>
  <c r="P13" i="5" s="1"/>
  <c r="F66" i="5"/>
  <c r="L7" i="5"/>
  <c r="S7" i="5" s="1"/>
  <c r="T7" i="5" s="1"/>
  <c r="M10" i="5"/>
  <c r="M12" i="5"/>
  <c r="E33" i="5"/>
  <c r="E34" i="5"/>
  <c r="E35" i="5"/>
  <c r="E36" i="5"/>
  <c r="E37" i="5"/>
  <c r="E44" i="5"/>
  <c r="E45" i="5"/>
  <c r="E46" i="5"/>
  <c r="J7" i="7"/>
  <c r="J19" i="7"/>
  <c r="J1" i="7"/>
  <c r="K7" i="7"/>
  <c r="K14" i="7"/>
  <c r="K17" i="7"/>
  <c r="L7" i="7"/>
  <c r="L10" i="7"/>
  <c r="L14" i="7"/>
  <c r="L17" i="7"/>
  <c r="M7" i="7"/>
  <c r="M14" i="7"/>
  <c r="N14" i="7" s="1"/>
  <c r="V7" i="6"/>
  <c r="V9" i="6"/>
  <c r="V6" i="6"/>
  <c r="L5" i="6"/>
  <c r="M5" i="6"/>
  <c r="N5" i="6"/>
  <c r="K5" i="6"/>
  <c r="C70" i="5"/>
  <c r="M15" i="5"/>
  <c r="B60" i="5"/>
  <c r="B59" i="5"/>
  <c r="B58" i="5"/>
  <c r="B57" i="5"/>
  <c r="B56" i="5"/>
  <c r="K13" i="5"/>
  <c r="K12" i="5"/>
  <c r="K10" i="5"/>
  <c r="K9" i="5"/>
  <c r="K7" i="5"/>
  <c r="K6" i="5"/>
  <c r="K5" i="5"/>
  <c r="D12" i="5"/>
  <c r="D5" i="5"/>
  <c r="N17" i="7" l="1"/>
  <c r="C14" i="8" s="1"/>
  <c r="D16" i="9" s="1"/>
  <c r="O12" i="5"/>
  <c r="Q13" i="5"/>
  <c r="S13" i="5" s="1"/>
  <c r="P12" i="5"/>
  <c r="Q12" i="5" s="1"/>
  <c r="S12" i="5" s="1"/>
  <c r="T12" i="5" s="1"/>
  <c r="S6" i="5"/>
  <c r="T6" i="5" s="1"/>
  <c r="W7" i="6"/>
  <c r="O7" i="6"/>
  <c r="AA7" i="6" s="1"/>
  <c r="S10" i="5"/>
  <c r="W9" i="6"/>
  <c r="O9" i="6"/>
  <c r="AA9" i="6" s="1"/>
  <c r="J7" i="10"/>
  <c r="I6" i="10"/>
  <c r="I5" i="10" s="1"/>
  <c r="M10" i="7"/>
  <c r="N10" i="7" s="1"/>
  <c r="E5" i="5"/>
  <c r="L5" i="5" s="1"/>
  <c r="S5" i="5" s="1"/>
  <c r="N7" i="7"/>
  <c r="C9" i="8" s="1"/>
  <c r="O10" i="5"/>
  <c r="L14" i="5"/>
  <c r="N10" i="5"/>
  <c r="E29" i="5"/>
  <c r="C57" i="5" s="1"/>
  <c r="E39" i="5"/>
  <c r="O6" i="6"/>
  <c r="AA6" i="6" s="1"/>
  <c r="L10" i="6"/>
  <c r="M10" i="6"/>
  <c r="N10" i="6"/>
  <c r="K10" i="6"/>
  <c r="J5" i="7" s="1"/>
  <c r="N6" i="5"/>
  <c r="N8" i="5" s="1"/>
  <c r="O6" i="5"/>
  <c r="P6" i="5" s="1"/>
  <c r="Q6" i="5" s="1"/>
  <c r="M20" i="7"/>
  <c r="O20" i="7" s="1"/>
  <c r="D12" i="8" s="1"/>
  <c r="E14" i="9" s="1"/>
  <c r="O7" i="5"/>
  <c r="E47" i="5"/>
  <c r="C59" i="5" s="1"/>
  <c r="R13" i="5" l="1"/>
  <c r="C58" i="5"/>
  <c r="R6" i="5"/>
  <c r="D13" i="9"/>
  <c r="C10" i="8"/>
  <c r="C11" i="8"/>
  <c r="N20" i="7"/>
  <c r="C12" i="8" s="1"/>
  <c r="D14" i="9" s="1"/>
  <c r="R12" i="5"/>
  <c r="K7" i="10"/>
  <c r="J6" i="10"/>
  <c r="J5" i="10" s="1"/>
  <c r="J103" i="10" s="1"/>
  <c r="J104" i="10" s="1"/>
  <c r="J112" i="10" s="1"/>
  <c r="J113" i="10" s="1"/>
  <c r="N6" i="7"/>
  <c r="C8" i="8" s="1"/>
  <c r="D12" i="9" s="1"/>
  <c r="Q11" i="6"/>
  <c r="P11" i="6"/>
  <c r="O14" i="5"/>
  <c r="P10" i="5"/>
  <c r="N14" i="5"/>
  <c r="N15" i="5" s="1"/>
  <c r="E21" i="5"/>
  <c r="C56" i="5" s="1"/>
  <c r="L11" i="6"/>
  <c r="N11" i="6"/>
  <c r="O10" i="6"/>
  <c r="M11" i="6"/>
  <c r="J6" i="7"/>
  <c r="K11" i="6"/>
  <c r="P7" i="5"/>
  <c r="Q7" i="5" s="1"/>
  <c r="J23" i="7"/>
  <c r="L8" i="5"/>
  <c r="L15" i="5" s="1"/>
  <c r="O5" i="5"/>
  <c r="O8" i="5" s="1"/>
  <c r="P49" i="10" l="1"/>
  <c r="E43" i="10"/>
  <c r="E111" i="10" s="1"/>
  <c r="P111" i="10" s="1"/>
  <c r="C5" i="8"/>
  <c r="C7" i="8" s="1"/>
  <c r="D6" i="9"/>
  <c r="D5" i="9" s="1"/>
  <c r="D10" i="9" s="1"/>
  <c r="C61" i="5"/>
  <c r="D58" i="5" s="1"/>
  <c r="D20" i="9"/>
  <c r="L7" i="10"/>
  <c r="K6" i="10"/>
  <c r="K5" i="10" s="1"/>
  <c r="K103" i="10" s="1"/>
  <c r="K104" i="10" s="1"/>
  <c r="K112" i="10" s="1"/>
  <c r="K113" i="10" s="1"/>
  <c r="E13" i="8"/>
  <c r="F15" i="9" s="1"/>
  <c r="D13" i="8"/>
  <c r="E15" i="9" s="1"/>
  <c r="M12" i="7"/>
  <c r="R11" i="6"/>
  <c r="O11" i="6"/>
  <c r="O14" i="6"/>
  <c r="O15" i="6"/>
  <c r="O16" i="6"/>
  <c r="R7" i="6"/>
  <c r="R9" i="6"/>
  <c r="R6" i="6"/>
  <c r="O13" i="6"/>
  <c r="J22" i="7"/>
  <c r="O15" i="5"/>
  <c r="K22" i="7" s="1"/>
  <c r="P14" i="5"/>
  <c r="Q10" i="5"/>
  <c r="P5" i="5"/>
  <c r="P8" i="5" s="1"/>
  <c r="P15" i="5" s="1"/>
  <c r="K12" i="7"/>
  <c r="O12" i="7"/>
  <c r="N29" i="7" s="1"/>
  <c r="D37" i="7" s="1"/>
  <c r="C13" i="8"/>
  <c r="D15" i="9" s="1"/>
  <c r="L12" i="7"/>
  <c r="P12" i="7"/>
  <c r="O29" i="7" s="1"/>
  <c r="E37" i="7" s="1"/>
  <c r="J12" i="7"/>
  <c r="P20" i="7"/>
  <c r="R7" i="5"/>
  <c r="S8" i="5"/>
  <c r="T5" i="5"/>
  <c r="T8" i="5" s="1"/>
  <c r="F28" i="11" l="1"/>
  <c r="F25" i="11"/>
  <c r="Q20" i="7"/>
  <c r="E12" i="8"/>
  <c r="F14" i="9" s="1"/>
  <c r="C25" i="8"/>
  <c r="H21" i="8"/>
  <c r="C16" i="8"/>
  <c r="D18" i="9" s="1"/>
  <c r="J24" i="7"/>
  <c r="J25" i="7" s="1"/>
  <c r="F79" i="10"/>
  <c r="F103" i="10" s="1"/>
  <c r="F104" i="10" s="1"/>
  <c r="F112" i="10" s="1"/>
  <c r="F113" i="10" s="1"/>
  <c r="D60" i="5"/>
  <c r="D57" i="5"/>
  <c r="E103" i="10"/>
  <c r="E104" i="10" s="1"/>
  <c r="P43" i="10"/>
  <c r="D56" i="5"/>
  <c r="K24" i="7"/>
  <c r="K25" i="7" s="1"/>
  <c r="I79" i="10"/>
  <c r="C68" i="5"/>
  <c r="M7" i="10"/>
  <c r="L6" i="10"/>
  <c r="L5" i="10" s="1"/>
  <c r="Q14" i="5"/>
  <c r="R10" i="5"/>
  <c r="R14" i="5" s="1"/>
  <c r="Q5" i="5"/>
  <c r="Q8" i="5" s="1"/>
  <c r="Q15" i="5" s="1"/>
  <c r="N12" i="7"/>
  <c r="M29" i="7" s="1"/>
  <c r="C37" i="7" s="1"/>
  <c r="L22" i="7"/>
  <c r="E112" i="10" l="1"/>
  <c r="F29" i="11"/>
  <c r="I103" i="10"/>
  <c r="I104" i="10" s="1"/>
  <c r="I112" i="10" s="1"/>
  <c r="I113" i="10" s="1"/>
  <c r="C69" i="5"/>
  <c r="D69" i="5" s="1"/>
  <c r="D68" i="5"/>
  <c r="L24" i="7"/>
  <c r="L79" i="10"/>
  <c r="L103" i="10" s="1"/>
  <c r="L104" i="10" s="1"/>
  <c r="L112" i="10" s="1"/>
  <c r="L113" i="10" s="1"/>
  <c r="N7" i="10"/>
  <c r="M6" i="10"/>
  <c r="M5" i="10" s="1"/>
  <c r="M103" i="10" s="1"/>
  <c r="M104" i="10" s="1"/>
  <c r="M112" i="10" s="1"/>
  <c r="M113" i="10" s="1"/>
  <c r="L25" i="7"/>
  <c r="S14" i="5"/>
  <c r="S15" i="5" s="1"/>
  <c r="T10" i="5"/>
  <c r="T14" i="5" s="1"/>
  <c r="T15" i="5" s="1"/>
  <c r="R5" i="5"/>
  <c r="R8" i="5" s="1"/>
  <c r="R15" i="5" s="1"/>
  <c r="N22" i="7" s="1"/>
  <c r="M22" i="7"/>
  <c r="E113" i="10" l="1"/>
  <c r="E114" i="10" s="1"/>
  <c r="F108" i="10" s="1"/>
  <c r="F110" i="10" s="1"/>
  <c r="F114" i="10" s="1"/>
  <c r="G108" i="10" s="1"/>
  <c r="G110" i="10" s="1"/>
  <c r="G114" i="10" s="1"/>
  <c r="H108" i="10" s="1"/>
  <c r="H110" i="10" s="1"/>
  <c r="H114" i="10" s="1"/>
  <c r="I108" i="10" s="1"/>
  <c r="I110" i="10" s="1"/>
  <c r="I114" i="10" s="1"/>
  <c r="J108" i="10" s="1"/>
  <c r="J110" i="10" s="1"/>
  <c r="J114" i="10" s="1"/>
  <c r="K108" i="10" s="1"/>
  <c r="K110" i="10" s="1"/>
  <c r="K114" i="10" s="1"/>
  <c r="L108" i="10" s="1"/>
  <c r="L110" i="10" s="1"/>
  <c r="L114" i="10" s="1"/>
  <c r="M108" i="10" s="1"/>
  <c r="M110" i="10" s="1"/>
  <c r="M114" i="10" s="1"/>
  <c r="N108" i="10" s="1"/>
  <c r="N110" i="10" s="1"/>
  <c r="M24" i="7"/>
  <c r="O79" i="10"/>
  <c r="P79" i="10" s="1"/>
  <c r="F54" i="11" s="1"/>
  <c r="F55" i="11" s="1"/>
  <c r="N24" i="7"/>
  <c r="C17" i="8"/>
  <c r="O7" i="10"/>
  <c r="N6" i="10"/>
  <c r="N5" i="10" s="1"/>
  <c r="N103" i="10" s="1"/>
  <c r="N104" i="10" s="1"/>
  <c r="N112" i="10" s="1"/>
  <c r="N113" i="10" s="1"/>
  <c r="M25" i="7"/>
  <c r="P22" i="7"/>
  <c r="O22" i="7"/>
  <c r="N114" i="10" l="1"/>
  <c r="O108" i="10" s="1"/>
  <c r="O110" i="10" s="1"/>
  <c r="M30" i="7"/>
  <c r="C38" i="7" s="1"/>
  <c r="N25" i="7"/>
  <c r="O24" i="7"/>
  <c r="N30" i="7" s="1"/>
  <c r="D38" i="7" s="1"/>
  <c r="D17" i="8"/>
  <c r="P24" i="7"/>
  <c r="O30" i="7" s="1"/>
  <c r="E38" i="7" s="1"/>
  <c r="E17" i="8"/>
  <c r="D19" i="9"/>
  <c r="D11" i="9" s="1"/>
  <c r="D29" i="9" s="1"/>
  <c r="D30" i="9" s="1"/>
  <c r="D31" i="9" s="1"/>
  <c r="E4" i="9" s="1"/>
  <c r="E10" i="9" s="1"/>
  <c r="C18" i="8"/>
  <c r="O6" i="10"/>
  <c r="Q7" i="10"/>
  <c r="Q5" i="10" s="1"/>
  <c r="P7" i="10"/>
  <c r="P25" i="7" l="1"/>
  <c r="O31" i="7" s="1"/>
  <c r="E39" i="7" s="1"/>
  <c r="E19" i="9"/>
  <c r="E11" i="9" s="1"/>
  <c r="E29" i="9" s="1"/>
  <c r="E30" i="9" s="1"/>
  <c r="E31" i="9" s="1"/>
  <c r="F4" i="9" s="1"/>
  <c r="F10" i="9" s="1"/>
  <c r="D18" i="8"/>
  <c r="H22" i="8"/>
  <c r="H23" i="8" s="1"/>
  <c r="H26" i="8" s="1"/>
  <c r="C20" i="8"/>
  <c r="C26" i="8"/>
  <c r="C28" i="8" s="1"/>
  <c r="F19" i="9"/>
  <c r="F11" i="9" s="1"/>
  <c r="F29" i="9" s="1"/>
  <c r="F30" i="9" s="1"/>
  <c r="E18" i="8"/>
  <c r="M31" i="7"/>
  <c r="C39" i="7" s="1"/>
  <c r="O25" i="7"/>
  <c r="N31" i="7" s="1"/>
  <c r="D39" i="7" s="1"/>
  <c r="O5" i="10"/>
  <c r="P6" i="10"/>
  <c r="F4" i="11" s="1"/>
  <c r="F7" i="11" s="1"/>
  <c r="F75" i="11" s="1"/>
  <c r="R25" i="7" l="1"/>
  <c r="F31" i="9"/>
  <c r="P5" i="10"/>
  <c r="O103" i="10"/>
  <c r="O104" i="10" s="1"/>
  <c r="J22" i="8"/>
  <c r="J23" i="8" s="1"/>
  <c r="J26" i="8" s="1"/>
  <c r="E26" i="8"/>
  <c r="E28" i="8" s="1"/>
  <c r="E20" i="8"/>
  <c r="I22" i="8"/>
  <c r="I23" i="8" s="1"/>
  <c r="I26" i="8" s="1"/>
  <c r="D26" i="8"/>
  <c r="D28" i="8" s="1"/>
  <c r="D20" i="8"/>
  <c r="O112" i="10" l="1"/>
  <c r="P104" i="10"/>
  <c r="Q3" i="10"/>
  <c r="P103" i="10"/>
  <c r="Q104" i="10" s="1"/>
  <c r="O113" i="10" l="1"/>
  <c r="O114" i="10" s="1"/>
  <c r="P112" i="10"/>
  <c r="Q112" i="10" s="1"/>
</calcChain>
</file>

<file path=xl/sharedStrings.xml><?xml version="1.0" encoding="utf-8"?>
<sst xmlns="http://schemas.openxmlformats.org/spreadsheetml/2006/main" count="543" uniqueCount="480">
  <si>
    <t>TOTAL CHELTUIELI</t>
  </si>
  <si>
    <t>Luna 1</t>
  </si>
  <si>
    <t>Luna 2</t>
  </si>
  <si>
    <t>Luna 3</t>
  </si>
  <si>
    <t>Luna 4</t>
  </si>
  <si>
    <t>Luna 5</t>
  </si>
  <si>
    <t>Luna 6</t>
  </si>
  <si>
    <t>Luna 7</t>
  </si>
  <si>
    <t>Luna 8</t>
  </si>
  <si>
    <t>Luna 9</t>
  </si>
  <si>
    <t>Luna 10</t>
  </si>
  <si>
    <t>Luna 11</t>
  </si>
  <si>
    <t>Luna 12</t>
  </si>
  <si>
    <t>1. Cheltuieli cu salariile personalului nou-angajat</t>
  </si>
  <si>
    <t>1.1. Cheltuieli salariale NETE</t>
  </si>
  <si>
    <t>Salariat 1</t>
  </si>
  <si>
    <t>Salariat 2</t>
  </si>
  <si>
    <t>Salariat 3</t>
  </si>
  <si>
    <t>Salariat 4</t>
  </si>
  <si>
    <t>Salariat 5</t>
  </si>
  <si>
    <t>1.2 Onorarii/ venituri asimilate salariilor pentru experți proprii/ cooptați</t>
  </si>
  <si>
    <t>1.3. Contribuţii sociale aferente cheltuielilor salariale şi cheltuielilor asimilate acestora (contribuţii angajaţi şi angajatori)</t>
  </si>
  <si>
    <t>2. Cheltuieli cu deplasarea personalului întreprinderilor nou-înfiinţate:</t>
  </si>
  <si>
    <t>2.1 Cheltuieli pentru cazare</t>
  </si>
  <si>
    <t>cazare 1</t>
  </si>
  <si>
    <t>Cazare 2</t>
  </si>
  <si>
    <t>2.2 Cheltuieli cu diurna personalului propriu</t>
  </si>
  <si>
    <t>Diurna Personal 1</t>
  </si>
  <si>
    <t>Diurna Personal 2</t>
  </si>
  <si>
    <t>2.3 Cheltuieli pentru transportul persoanelor (inclusiv transportul efectuat cu mijloacele de transport în comun sau taxi, gară, autogară sau port şi locul delegării ori locul de cazare, precum şi transportul efectuat pe distanța dintre locul de cazare şi locul delegării)</t>
  </si>
  <si>
    <t>Cheltuieli Transport 2</t>
  </si>
  <si>
    <t>2.4 Taxe şi asigurări de călătorie și asigurări medicale aferente deplasării</t>
  </si>
  <si>
    <t>3. Cheltuieli aferente diverselor achiziţii de servicii specializate, pentru care beneficiarul ajutorului de minimis nu are expertiza necesară</t>
  </si>
  <si>
    <t>Servicii specializate contabilitatea</t>
  </si>
  <si>
    <t>Servicii specializate juridic</t>
  </si>
  <si>
    <t>4. Cheltuieli cu achiziția de active fixe corporale (altele decât terenuri și imobile), obiecte de inventar, materii prime și materiale, inclusiv materiale consumabile, alte cheltuieli pentru investiţii necesare funcţionării întreprinderilor</t>
  </si>
  <si>
    <t>Materie prima 1</t>
  </si>
  <si>
    <t>Materie prima 2</t>
  </si>
  <si>
    <t>5. Cheltuieli cu închirierea de sedii (inclusiv depozite), spații pentru desfășurarea diverselor activițăți ale întreprinderii, echipamente, vehicule, diverse bunuri</t>
  </si>
  <si>
    <t>Chirie sediu</t>
  </si>
  <si>
    <t>Chirie spatii productie si depozitare</t>
  </si>
  <si>
    <t>Chirie echipamente</t>
  </si>
  <si>
    <t>Chirie vehicule</t>
  </si>
  <si>
    <t>Chirie diverse bunuri</t>
  </si>
  <si>
    <t>6. Cheltuieli de leasing fără achiziție (leasing operațional) aferente funcţionării întreprinderilor (rate de leasing operațional plătite de întreprindere pentru: echipamente, vehicule, diverse bunuri mobile și imobile)</t>
  </si>
  <si>
    <t>Echipamente</t>
  </si>
  <si>
    <t>Vehicule</t>
  </si>
  <si>
    <t>Bunuri imobile</t>
  </si>
  <si>
    <t>7. Utilităţi aferente funcţionării întreprinderilor</t>
  </si>
  <si>
    <t>Energie electrica</t>
  </si>
  <si>
    <t>Gaze</t>
  </si>
  <si>
    <t>Apa/canalizare</t>
  </si>
  <si>
    <t>Internet + telefonie</t>
  </si>
  <si>
    <t>8. Servicii de administrare a clădirilor aferente funcţionării întreprinderilor</t>
  </si>
  <si>
    <t>9. Servicii de întreţinere şi reparare de echipamente şi mijloace de transport aferente funcţionării întreprinderilor</t>
  </si>
  <si>
    <t>Cheltuieli reparatii</t>
  </si>
  <si>
    <t>10. Arhivare de documente aferente funcţionării întreprinderilor</t>
  </si>
  <si>
    <t>Cheltuieli arhivare</t>
  </si>
  <si>
    <t>11. Amortizare de active aferente funcţionării întreprinderilor</t>
  </si>
  <si>
    <t>12. Cheltuieli financiare şi juridice (notariale) aferente funcţionării întreprinderilor</t>
  </si>
  <si>
    <t>Cheltuieli financiare aferente functionarii</t>
  </si>
  <si>
    <t>Cheltuieli juridice (notariale aferente functionarii</t>
  </si>
  <si>
    <t>13. Conectare la reţele informatice aferente funcţionării întreprinderilor</t>
  </si>
  <si>
    <t>Cheltuieli conectare retele informatice</t>
  </si>
  <si>
    <t>14. Cheltuieli de informare şi publicitate aferente funcţionării întreprinderilor</t>
  </si>
  <si>
    <t>Cheltuieli cercetare de piata</t>
  </si>
  <si>
    <t>Cheltuieli infiintare site si pagina facebook/ Instagram</t>
  </si>
  <si>
    <t>Cheltuieli materiale informative - afise/flyere</t>
  </si>
  <si>
    <t>15. Alte cheltuieli aferente funcţionării întreprinderilor</t>
  </si>
  <si>
    <t>15.1. Prelucrare de date</t>
  </si>
  <si>
    <t>15.2. Întreţinere, actualizare şi dezvoltare de aplicaţii informatice</t>
  </si>
  <si>
    <t>15.3. Achiziţionare de publicaţii, cărţi, reviste de specialitate relevante pentru operaţiune, în format tipărit şi/sau electronic</t>
  </si>
  <si>
    <t>15.4. Concesiuni, brevete, licenţe, mărci comerciale, drepturi şi active similare</t>
  </si>
  <si>
    <t xml:space="preserve">Se completeaza in LEI FARA ZECIMALE </t>
  </si>
  <si>
    <t>Investitia amortizabila (descriere detaliata)</t>
  </si>
  <si>
    <t>Nr. Unitati</t>
  </si>
  <si>
    <t>Valoare  Totala (lei)</t>
  </si>
  <si>
    <t>Perioada de amortizare (ani)</t>
  </si>
  <si>
    <t>Valoare (lei)</t>
  </si>
  <si>
    <t>Pret Unitar (Lei)</t>
  </si>
  <si>
    <t>casa de marcat</t>
  </si>
  <si>
    <t>Valoare unitara (lei)</t>
  </si>
  <si>
    <t>Valoare totala (lei)</t>
  </si>
  <si>
    <t>Cheltuieli anterioare productiei - total</t>
  </si>
  <si>
    <t>Cheltuieli de securizare spatiu de lucru ( Sistem de supraveghere si antiefractie)</t>
  </si>
  <si>
    <t>Alte cheltuieli: autorizare</t>
  </si>
  <si>
    <t>% din total investitie</t>
  </si>
  <si>
    <t>Total Valoare Investitie si Ch. Anterioare Productiei</t>
  </si>
  <si>
    <t>%</t>
  </si>
  <si>
    <t>1.  Necesarul de Finantare ( Valoarea investitiei), din care</t>
  </si>
  <si>
    <r>
      <t>1.1.</t>
    </r>
    <r>
      <rPr>
        <sz val="7"/>
        <color rgb="FF000000"/>
        <rFont val="Times New Roman"/>
        <family val="1"/>
      </rPr>
      <t xml:space="preserve">              </t>
    </r>
    <r>
      <rPr>
        <sz val="11"/>
        <color rgb="FF000000"/>
        <rFont val="Arial Narrow"/>
        <family val="2"/>
      </rPr>
      <t>Valoarea subvenției solicitate ( transa I si II)</t>
    </r>
  </si>
  <si>
    <r>
      <t>1.2.</t>
    </r>
    <r>
      <rPr>
        <sz val="7"/>
        <color rgb="FF000000"/>
        <rFont val="Times New Roman"/>
        <family val="1"/>
      </rPr>
      <t xml:space="preserve">              </t>
    </r>
    <r>
      <rPr>
        <sz val="11"/>
        <color rgb="FF000000"/>
        <rFont val="Arial Narrow"/>
        <family val="2"/>
      </rPr>
      <t xml:space="preserve">Contribuție proprie (din surse proprii și atrase) </t>
    </r>
    <r>
      <rPr>
        <i/>
        <sz val="11"/>
        <color rgb="FF000000"/>
        <rFont val="Arial Narrow"/>
        <family val="2"/>
      </rPr>
      <t>(opțional)</t>
    </r>
  </si>
  <si>
    <r>
      <t>2.</t>
    </r>
    <r>
      <rPr>
        <b/>
        <sz val="7"/>
        <color rgb="FF000000"/>
        <rFont val="Times New Roman"/>
        <family val="1"/>
      </rPr>
      <t xml:space="preserve">        </t>
    </r>
    <r>
      <rPr>
        <b/>
        <sz val="11"/>
        <color rgb="FF000000"/>
        <rFont val="Arial Narrow"/>
        <family val="2"/>
      </rPr>
      <t>Destinația fondurilor</t>
    </r>
  </si>
  <si>
    <r>
      <t>2.1.</t>
    </r>
    <r>
      <rPr>
        <sz val="7"/>
        <color rgb="FF000000"/>
        <rFont val="Times New Roman"/>
        <family val="1"/>
      </rPr>
      <t xml:space="preserve">              </t>
    </r>
    <r>
      <rPr>
        <sz val="11"/>
        <color rgb="FF000000"/>
        <rFont val="Arial Narrow"/>
        <family val="2"/>
      </rPr>
      <t xml:space="preserve">Investiții  și cheltuieli anterioare producției </t>
    </r>
    <r>
      <rPr>
        <i/>
        <sz val="11"/>
        <color rgb="FF000000"/>
        <rFont val="Arial Narrow"/>
        <family val="2"/>
      </rPr>
      <t>(autorizatii, avize, inregistrare firma)</t>
    </r>
  </si>
  <si>
    <r>
      <t>2.2.</t>
    </r>
    <r>
      <rPr>
        <sz val="7"/>
        <color rgb="FF000000"/>
        <rFont val="Times New Roman"/>
        <family val="1"/>
      </rPr>
      <t xml:space="preserve">              </t>
    </r>
    <r>
      <rPr>
        <sz val="11"/>
        <color rgb="FF000000"/>
        <rFont val="Arial Narrow"/>
        <family val="2"/>
      </rPr>
      <t>Cheltuieli operaționale în primele 12 luni</t>
    </r>
  </si>
  <si>
    <t>Total</t>
  </si>
  <si>
    <t>Pret unitar (Lei) Inclusiv TVA</t>
  </si>
  <si>
    <t>Valoare Totala (lei)</t>
  </si>
  <si>
    <t>Perioada de amortizare(ani)</t>
  </si>
  <si>
    <t>Cheltuieli cu amortizarea mijloacelor fixe aferente investitiei</t>
  </si>
  <si>
    <t>Total Amorizare Active corporale</t>
  </si>
  <si>
    <t>Total Cheltuieli de amortizare Active  Necorporale</t>
  </si>
  <si>
    <t>Anul I Trim 1</t>
  </si>
  <si>
    <t>Anul I Trim 2</t>
  </si>
  <si>
    <t>Anul I Trim 3</t>
  </si>
  <si>
    <t>Anul I Trim 4</t>
  </si>
  <si>
    <t>Total Anul 1</t>
  </si>
  <si>
    <t>Anul II - Trim 1</t>
  </si>
  <si>
    <t>Anul II - Trim 2</t>
  </si>
  <si>
    <t>I. Investitia - Active  corporale</t>
  </si>
  <si>
    <t>I.Active corporale cu valoare unitara mai mare de 2500 lei ( TVA inclus)</t>
  </si>
  <si>
    <t xml:space="preserve">I. 1. Masini si echipamente de Productie/ Prestari servicii </t>
  </si>
  <si>
    <t xml:space="preserve">I.2. Echipamente IT </t>
  </si>
  <si>
    <t xml:space="preserve">I. 3. Mobilier </t>
  </si>
  <si>
    <t>II. Investitia - Active  necorporale cu valoare unitara mai mare de 2500 lei ( TVA inclus)</t>
  </si>
  <si>
    <t>II.1.Programe de calculator</t>
  </si>
  <si>
    <t>II.2. Marci brevete</t>
  </si>
  <si>
    <t>II.3 Alte active necorporale</t>
  </si>
  <si>
    <t>II. Investitia - Active  necorporale</t>
  </si>
  <si>
    <t>Total Cheltuieli cu amortizare active</t>
  </si>
  <si>
    <t xml:space="preserve">III. Obiecte de inventar ( valoare achizitie &lt;2500 lei TVA inclus) </t>
  </si>
  <si>
    <t>Total Cheltuieli cu  obiectele de inventar</t>
  </si>
  <si>
    <t>Total investitie in active corporale amortizabila</t>
  </si>
  <si>
    <t xml:space="preserve">Total investitie in active necorporale amortizabila </t>
  </si>
  <si>
    <t>IV. Amanenajari spatii de Productie /Prestari servicii/Comert</t>
  </si>
  <si>
    <t>V. Cheltuieli anterioare productiei</t>
  </si>
  <si>
    <t>Structura Investitiei</t>
  </si>
  <si>
    <t xml:space="preserve"> Planul de  finantare al investitiei</t>
  </si>
  <si>
    <t>Cantitate ( nr. unitati produs/serviciu)</t>
  </si>
  <si>
    <t>an 1</t>
  </si>
  <si>
    <t xml:space="preserve">       Total cifra de afaceri ( lei)</t>
  </si>
  <si>
    <t>NA</t>
  </si>
  <si>
    <r>
      <t xml:space="preserve"> </t>
    </r>
    <r>
      <rPr>
        <b/>
        <sz val="11"/>
        <color theme="1"/>
        <rFont val="Arial Narrow"/>
        <family val="2"/>
      </rPr>
      <t xml:space="preserve">Cheltuieli de producţie directe </t>
    </r>
  </si>
  <si>
    <t>Cantitate/ Nr. Salariati</t>
  </si>
  <si>
    <t>tr 1</t>
  </si>
  <si>
    <t>tr 2</t>
  </si>
  <si>
    <t xml:space="preserve">Subansamble/piese de schimb  </t>
  </si>
  <si>
    <t xml:space="preserve">Alte cheltuieli directe(detaliaţi) </t>
  </si>
  <si>
    <t>Total cheltuieli directe</t>
  </si>
  <si>
    <t>Cheltuieli de producţie indirecte</t>
  </si>
  <si>
    <t xml:space="preserve">Total cheltuieli indirecte </t>
  </si>
  <si>
    <t>Total cifra de afaceri ( Euro)                                                                                                                                                                         Rata de schimb 4.66 lei/euro</t>
  </si>
  <si>
    <t>an 1 trim 1</t>
  </si>
  <si>
    <t>an 1 trim 2</t>
  </si>
  <si>
    <t>an 1 trim 3</t>
  </si>
  <si>
    <t>an 1 trim 4</t>
  </si>
  <si>
    <t>an 2</t>
  </si>
  <si>
    <t>An 1</t>
  </si>
  <si>
    <t>Valoarea  vanzarilor/ produs/serviciu/an ca procent din volumul maxim al vanzarilor estimat pe an</t>
  </si>
  <si>
    <t xml:space="preserve"> ESTIMAREA VENITURILOR</t>
  </si>
  <si>
    <t>Cheltuieli de exploatare anuale (operaţionale)</t>
  </si>
  <si>
    <t>A1tr1</t>
  </si>
  <si>
    <t>A1tr2</t>
  </si>
  <si>
    <t>A1tr3</t>
  </si>
  <si>
    <t>A1tr4</t>
  </si>
  <si>
    <t>A2tr1</t>
  </si>
  <si>
    <t>A2tr2</t>
  </si>
  <si>
    <t>PU (lei)</t>
  </si>
  <si>
    <t>tr 3</t>
  </si>
  <si>
    <t>tr 4</t>
  </si>
  <si>
    <t>An2</t>
  </si>
  <si>
    <t>An 1 Total</t>
  </si>
  <si>
    <t>A1 tr1</t>
  </si>
  <si>
    <t>A1 tr2</t>
  </si>
  <si>
    <t>A1 tr3</t>
  </si>
  <si>
    <t>A1 tr4</t>
  </si>
  <si>
    <t>Cheltuieli de leasing fara achizitie</t>
  </si>
  <si>
    <t>Total           an 1</t>
  </si>
  <si>
    <r>
      <t>Alte cheltuieli indirecte</t>
    </r>
    <r>
      <rPr>
        <i/>
        <sz val="11"/>
        <color theme="1"/>
        <rFont val="Arial Narrow"/>
        <family val="2"/>
      </rPr>
      <t xml:space="preserve">(detaliaţi) - amortizare investitie </t>
    </r>
  </si>
  <si>
    <t>x</t>
  </si>
  <si>
    <t>echipament IT  ( calc si imprimanta)</t>
  </si>
  <si>
    <t>amenajare birou si vestiar</t>
  </si>
  <si>
    <r>
      <t>Alte cheltuieli indirecte</t>
    </r>
    <r>
      <rPr>
        <i/>
        <sz val="11"/>
        <color theme="1"/>
        <rFont val="Arial Narrow"/>
        <family val="2"/>
      </rPr>
      <t>(detaliaţi) -  si cheltuieli cu ob. Inventar, securizarea si amenajarea spatiilor de productie/prestari servicii</t>
    </r>
  </si>
  <si>
    <t>amenajare depozit materii prime si materiale</t>
  </si>
  <si>
    <t>Valoare Vanzari  - Produs( lei/sortiment)/ perioada</t>
  </si>
  <si>
    <t>amenajare spatiu de productie si livrare</t>
  </si>
  <si>
    <t>Cheltuieli  juridice de infiintare si inregistrare a firmei  din care CS 200 lei</t>
  </si>
  <si>
    <t xml:space="preserve">obiecte de inventar </t>
  </si>
  <si>
    <t>masini si echipamente noi</t>
  </si>
  <si>
    <t>Administraţie si contabilitate - 1 salariat cu fractiune de norma (1 ora/zi) sau Onorarii experti/ servicii specializare de contabilitate/ tehnologie si juridice de infintare firma</t>
  </si>
  <si>
    <t>Cheltuieli de Birou/ Consumabile</t>
  </si>
  <si>
    <t xml:space="preserve">Cheltuieli de deplasare/delegatii </t>
  </si>
  <si>
    <t xml:space="preserve">Cheltuieli de Marketing si Promovare -  realizare pagina Web/ mentenanta website firma, participari la evenimente specifice </t>
  </si>
  <si>
    <t>conform  bugetului de marketing</t>
  </si>
  <si>
    <t xml:space="preserve">Utilitati birou/ sediu social: Energie electrica, apa, energie termica, telefon si internet </t>
  </si>
  <si>
    <t>incluse in ch cu auxiliare</t>
  </si>
  <si>
    <t>incluse in ch cu transportul</t>
  </si>
  <si>
    <t>incluse in  ch. Cu utilitatile de productie</t>
  </si>
  <si>
    <t>Chirie punct de lucru</t>
  </si>
  <si>
    <t>amortizare totala/ perioada</t>
  </si>
  <si>
    <t>Servicii sau lucrări subcontractate: autorizatii, abonamente, mentenanta , cheltuieli anterioare  productiei  de autorizare</t>
  </si>
  <si>
    <t>ch de autorizare - investitie</t>
  </si>
  <si>
    <t>detaliat in descrierea investitiei si a ch. Anterioare productiei</t>
  </si>
  <si>
    <t>CONTUL DE PROFIT ȘI PIERDERE PRESCURTAT</t>
  </si>
  <si>
    <t>AN 2019</t>
  </si>
  <si>
    <t>AN 2020</t>
  </si>
  <si>
    <t>1. Cifra de afaceri netă</t>
  </si>
  <si>
    <t>VENITURI DIN EXPLOATARE – TOTAL rd.2+3</t>
  </si>
  <si>
    <t>Cheltuieli cu materii prime/marfuri şi materiale consumabile aferente activităţii desfaşurate</t>
  </si>
  <si>
    <t>Salarii (inclusiv cheltuielile aferente)</t>
  </si>
  <si>
    <t>Salarii nete</t>
  </si>
  <si>
    <t>Cheltuieli cu salariile</t>
  </si>
  <si>
    <t>Chirii</t>
  </si>
  <si>
    <t>Utilităţi</t>
  </si>
  <si>
    <t>Costuri funcţionare birou, Cheltuieli de marketing, Reparaţii/Întreţinere</t>
  </si>
  <si>
    <t>Asigurări</t>
  </si>
  <si>
    <t>Impozite, taxe şi vărsăminte asimilate,  Impozitul pe profit</t>
  </si>
  <si>
    <t>Alte cheltuieli</t>
  </si>
  <si>
    <t>TOTAL CHELTUIELI( RD.5-12)</t>
  </si>
  <si>
    <t>PROFITUL SAU PIERDEREA DIN EXPLOATARE:</t>
  </si>
  <si>
    <t>Profit ( RD.4-13)</t>
  </si>
  <si>
    <t>Pierdere (RD.13-4)</t>
  </si>
  <si>
    <t xml:space="preserve">VENITURI FINANCIARE – TOTAL </t>
  </si>
  <si>
    <t>CHELTUIELI FINANCIARE - TOTAL</t>
  </si>
  <si>
    <t>PROFITUL SAU PIERDEREA FINANCIAR(Ă) (RD,17-18)</t>
  </si>
  <si>
    <t>VENITURI TOTALE  (RD.4+17)</t>
  </si>
  <si>
    <t>CHELTUIELI TOTALE  (RD,13+18)</t>
  </si>
  <si>
    <t>18. PROFITUL SAU PIERDEREA BRUT(Ă):</t>
  </si>
  <si>
    <t>Profit  (  Rd,20-21)</t>
  </si>
  <si>
    <t>Pierdere  (rd.21-20)</t>
  </si>
  <si>
    <t>UNDE NU SUNT COSTURI VA RUGAM SA INTRODUCETI 0</t>
  </si>
  <si>
    <t>NU SE COMPLTEAZA pentru ca se fac calcule automat</t>
  </si>
  <si>
    <t>Alte cheltuieli ( amortizare si ch cu ob de inventar)</t>
  </si>
  <si>
    <t xml:space="preserve"> VENITURI DIN EXPLOATARE </t>
  </si>
  <si>
    <t xml:space="preserve">Alte venituri din exploatare </t>
  </si>
  <si>
    <t>CASH-FLOW</t>
  </si>
  <si>
    <t>Nr. crt.</t>
  </si>
  <si>
    <t>I</t>
  </si>
  <si>
    <t>Sold iniţial disponibil (casă şi bancă)</t>
  </si>
  <si>
    <t>A</t>
  </si>
  <si>
    <t>Intrări de lichidităţi (1+2+3+4)</t>
  </si>
  <si>
    <t>din vânzări</t>
  </si>
  <si>
    <t>din credite primite</t>
  </si>
  <si>
    <t>alte intrări de numerar (aport propriu, etc.)</t>
  </si>
  <si>
    <t>Alocaţie Financiară nerambursabilă</t>
  </si>
  <si>
    <t>Total disponibil (I+A)</t>
  </si>
  <si>
    <t>B</t>
  </si>
  <si>
    <t>Utilizari numerar din exploatare</t>
  </si>
  <si>
    <t>Cheltuieli cu materii prime şi materiale consumabile aferente activităţii desfaşurate</t>
  </si>
  <si>
    <t>Costuri funcţionare birou, Cheltuieli de marketing, Servicii cu terţii, Reparaţii/Întreţinere</t>
  </si>
  <si>
    <t>Impozite, taxe şi vărsăminte asimilate</t>
  </si>
  <si>
    <t>C</t>
  </si>
  <si>
    <t>Cheltuieli pentru investiţii (Valoarea totală a proiectului)</t>
  </si>
  <si>
    <t>D</t>
  </si>
  <si>
    <t xml:space="preserve">Credite </t>
  </si>
  <si>
    <t>rambursări rate de credit scadente</t>
  </si>
  <si>
    <t>dobânzi şi comisioane</t>
  </si>
  <si>
    <t>E</t>
  </si>
  <si>
    <t>Plăţi/încasări pentru impozite şi taxe (1-2+3)</t>
  </si>
  <si>
    <t>Plăţi TVA</t>
  </si>
  <si>
    <t>Rambursări TVA</t>
  </si>
  <si>
    <t>Impozit pe profit/cifră de afaceri</t>
  </si>
  <si>
    <t>F</t>
  </si>
  <si>
    <t>Dividende</t>
  </si>
  <si>
    <t>G</t>
  </si>
  <si>
    <t>Total utilizări numerar (B+C+D+E+F)</t>
  </si>
  <si>
    <t>H</t>
  </si>
  <si>
    <t>Flux net de lichidităţi (A-G)</t>
  </si>
  <si>
    <t>II</t>
  </si>
  <si>
    <t>Sold final disponibil (I+H)</t>
  </si>
  <si>
    <t>Explicaţii / an</t>
  </si>
  <si>
    <t>intretinere gradini si amenajari peisagistice</t>
  </si>
  <si>
    <t>Preț unitar mediu (lei/mp)</t>
  </si>
  <si>
    <t>amenajari peisagistice  de complexitate mica</t>
  </si>
  <si>
    <t>amenajari peisagistice  de complexitate medie</t>
  </si>
  <si>
    <t>amenajari peisagistice  de complexitate mare</t>
  </si>
  <si>
    <t>an 3</t>
  </si>
  <si>
    <t>an2</t>
  </si>
  <si>
    <t>An3</t>
  </si>
  <si>
    <t>Cheltuieli  cu salarii ( manopera directa: salarii nete, inclusiv taxe şi contribuţii sociale si contributie firma) ex: 4000 lei salariu brut: 2288 lei ( 57,2%) - salariu net si 1712 lei (42,8%) -taxe si contributii ale angajatorului si angajatului</t>
  </si>
  <si>
    <t xml:space="preserve">masina de transport echipamente si materiale </t>
  </si>
  <si>
    <t xml:space="preserve">300 mp= 300 Euro/luna </t>
  </si>
  <si>
    <t>1500 lei/luna</t>
  </si>
  <si>
    <t>Cheltuilei  cu transportul materiilor prime/ materiale- produse finite   ( combustibil)</t>
  </si>
  <si>
    <t>Materii prime ( plante, rulouri iarba, instalatii)</t>
  </si>
  <si>
    <t>50% din pretul de vanzare - amenajari complexe</t>
  </si>
  <si>
    <t xml:space="preserve">Materiale auxiliare (plante, sulouri iarba, alte materiale.) </t>
  </si>
  <si>
    <t>30% din pretul de vanzare amenajari simple si medii</t>
  </si>
  <si>
    <t>Utilitati punct de lucru: Energie electrica, apa, energie termica, telefon si internet</t>
  </si>
  <si>
    <t>400 lei/luna</t>
  </si>
  <si>
    <t xml:space="preserve">Anul II </t>
  </si>
  <si>
    <t>Anul III</t>
  </si>
  <si>
    <t>An 3</t>
  </si>
  <si>
    <t>625 lei luna - sv. Contabilitate;  Ch cu asitenta juridica la infiinatre si autorizare 1500 lei</t>
  </si>
  <si>
    <t>Utilităţi si cheltuieli de transport</t>
  </si>
  <si>
    <t>Venituri Totale</t>
  </si>
  <si>
    <t>Cheltuieli Totale</t>
  </si>
  <si>
    <t>Profit/Pierdere</t>
  </si>
  <si>
    <t>An 2018</t>
  </si>
  <si>
    <t>An 2019</t>
  </si>
  <si>
    <t>An 2020</t>
  </si>
  <si>
    <t>marja de profit</t>
  </si>
  <si>
    <t>COSTURI ACCEPTATE LA FINANTARE - previziune 12 luni</t>
  </si>
  <si>
    <t>corelare cu  planul de afaceri</t>
  </si>
  <si>
    <t xml:space="preserve">Justificare sume / oferte piata </t>
  </si>
  <si>
    <t>Bunuri Mobile</t>
  </si>
  <si>
    <t>Chltuieli intretinere</t>
  </si>
  <si>
    <t>Cheltuieli promovare retele social specializate</t>
  </si>
  <si>
    <t>total anul inv</t>
  </si>
  <si>
    <t xml:space="preserve">Expert cooptat </t>
  </si>
  <si>
    <t>Echipament - mijloc de transport</t>
  </si>
  <si>
    <t>Echipament  - calculator + multifinctionala</t>
  </si>
  <si>
    <t>Altele cheltuieli  - obiecte de inventar</t>
  </si>
  <si>
    <t>Cheltuieli Transport  materiale si marfuri</t>
  </si>
  <si>
    <t>Servicii specializate tehnologie (securizare si autorizare)</t>
  </si>
  <si>
    <t>An 2</t>
  </si>
  <si>
    <t>Total Ch Directe</t>
  </si>
  <si>
    <t>Total Ch Indirecte</t>
  </si>
  <si>
    <t>Total Cheltuieli</t>
  </si>
  <si>
    <t>AN 2021</t>
  </si>
  <si>
    <t>An 2021</t>
  </si>
  <si>
    <t>Ch. Directe</t>
  </si>
  <si>
    <t>Ch. Indirecte</t>
  </si>
  <si>
    <t>Nr.  Crt.</t>
  </si>
  <si>
    <t>Element de investiţie/ Cheltuieli operationale</t>
  </si>
  <si>
    <t>Număr unitati</t>
  </si>
  <si>
    <t>Total -RON</t>
  </si>
  <si>
    <t>Cheltuieli prevazute a fi realizate in transa 1</t>
  </si>
  <si>
    <t>Cheltuieli prevazute a fi realizate in transa 2</t>
  </si>
  <si>
    <t>1. Cheltuieli cu salariile personalului nou angajat</t>
  </si>
  <si>
    <t>Cheltuieli salariale</t>
  </si>
  <si>
    <t>Nota: in anul0 ( implementare)  al doilea contract de munca se deruleaza pe 9 luni conf . strategiei de personal PA cap 4.</t>
  </si>
  <si>
    <t>Onorarii/venituri asimilate salariilor pentru experti proprii/cooptati - salariul net</t>
  </si>
  <si>
    <t>Contributii sociale aferente cheltuielilor salariale si cheltuielilor asimilate acestora (contributii angajati si angajatori)</t>
  </si>
  <si>
    <t>TOTAL Cheltuieli cu salariile personalului nou angajat</t>
  </si>
  <si>
    <t>2. Cheltuieli cu deplasarea personalului intreprinderilor nou-infiintate</t>
  </si>
  <si>
    <t>Cheltuieli pentru cazare</t>
  </si>
  <si>
    <t>Cheltuieli cu diurna personalului propriu</t>
  </si>
  <si>
    <t>Cheltuieli pentru transportul persoanelor (inclusiv transportul efectuat cu mijloacele de transport in comun sau taxi, gara, autogara sau port si locul delegarii ori locul de cazare, precum si transportul efectuat pe distanta dintre locul de cazare si locul delegarii)</t>
  </si>
  <si>
    <t>Taxe si asigurari de calatorie si asigurari medicale aferente deplasarii</t>
  </si>
  <si>
    <t>TOTAL Cheltuieli cu deplasarea personalului intreprinderilor nou-infiintate</t>
  </si>
  <si>
    <t>3. Cheltuieli aferente diverselor achizitii de servicii specializate, pentru care beneficiarul ajutorului de minimis nu are expertiza necesara</t>
  </si>
  <si>
    <t> 3.1</t>
  </si>
  <si>
    <t xml:space="preserve">Cheltuieli  juridice de infiintare firma - mai putin  Capitalul social </t>
  </si>
  <si>
    <t>3.2.</t>
  </si>
  <si>
    <t>Cheltuieli  cu  documentatia de  avizare a functionarii firme si cu  autorizarea</t>
  </si>
  <si>
    <t>3.3.</t>
  </si>
  <si>
    <t>Cheltuieli cu securizarea  spatiului de lucru</t>
  </si>
  <si>
    <t>3.4.</t>
  </si>
  <si>
    <t>Cheltuieli  cu serviciile de contabilitate</t>
  </si>
  <si>
    <t>TOTAL Cheltuieli aferente diverselor achizitii de servicii specializate, pentru care beneficiarul ajutorului de minimis nu are expertiza necesara</t>
  </si>
  <si>
    <t>4. Cheltuieli cu achizitia de active fixe corporale (altele decat terenuri si imobile), obiecte de inventar, materii prime si materiale, inclusiv materiale consumabile, alte cheltuieli pentru investitii necesare functionarii intreprinderilor</t>
  </si>
  <si>
    <t> 4.1</t>
  </si>
  <si>
    <t>Nota:  Buget detaliat al investitiei</t>
  </si>
  <si>
    <t>4.2.</t>
  </si>
  <si>
    <t>4.3.</t>
  </si>
  <si>
    <t>4.4.</t>
  </si>
  <si>
    <t>4.5.</t>
  </si>
  <si>
    <t>4.6.</t>
  </si>
  <si>
    <t>4.7.</t>
  </si>
  <si>
    <t>4.8.</t>
  </si>
  <si>
    <t>TOTAL Cheltuieli cu achizitia de active fixe corporale (altele decat terenuri si imobile), obiecte de inventar, materii prime si materiale, inclusiv materiale consumabile, alte cheltuieli pentru investitii necesare functionarii intreprinderilor</t>
  </si>
  <si>
    <t>5. Cheltuieli cu inchirierea de sedii (inclusiv depozite), spatii pentru desfasurarea diverselor activitati ale intreprinderii, echipamente, vehicule, diverse bunuri mobile si imobile)</t>
  </si>
  <si>
    <t> 5.1</t>
  </si>
  <si>
    <t>TOTAL Cheltuieli cu inchirierea de sedii (inclusiv depozite), spatii pentru desfasurarea diverselor activitati ale intreprinderii, echipamente, vehicule, diverse bunuri mobile si imobile)</t>
  </si>
  <si>
    <t>6. Cheltuieli de leasing fara achizitie (leasing operational) aferente functionarii intreprinderilor (rate de leasing operational platite de intreprinderea pentru: echipamente, vehicule, diverse bunuri mobile si imobile)</t>
  </si>
  <si>
    <t> 6.1</t>
  </si>
  <si>
    <t> 6.2</t>
  </si>
  <si>
    <t>TOTAL Cheltuieli de leasing fara achizitie (leasing operational) aferente functionarii intreprinderilor (rate de leasing operational platite de intreprinderea pentru: echipamente, vehicule, diverse bunuri mobile si imobile)</t>
  </si>
  <si>
    <t>7. Utilitati aferente functionarii intreprinderilor</t>
  </si>
  <si>
    <t> 7.1</t>
  </si>
  <si>
    <t>Cheltuieli cu  utilitati anul 0</t>
  </si>
  <si>
    <t> 7.2</t>
  </si>
  <si>
    <t>TOTAL Utilitati aferente functionarii intreprinderilor</t>
  </si>
  <si>
    <t>8. Servicii de administrare a cladirilor aferente functionarii intreprinderilor</t>
  </si>
  <si>
    <t> 8.1</t>
  </si>
  <si>
    <t> 8.2</t>
  </si>
  <si>
    <t>TOTAL Servicii de administrare a cladirilor aferente functionarii intreprinderilor</t>
  </si>
  <si>
    <t>9. Servicii de intretinere si reparare de echipamente si mijloace de transport aferente functionarii intreprinderilor</t>
  </si>
  <si>
    <t> 9.1</t>
  </si>
  <si>
    <t> 9.2</t>
  </si>
  <si>
    <t>TOTAL Servicii de intretinere si reparare de echipamente si mijloace de transport aferente functionarii intreprinderilor</t>
  </si>
  <si>
    <t>10. Arhivare de documente aferente functionarii intreprinderilor</t>
  </si>
  <si>
    <t> 10.1</t>
  </si>
  <si>
    <t> 10.2</t>
  </si>
  <si>
    <t>TOTAL Arhivare de documente aferente functionarii intreprinderilor</t>
  </si>
  <si>
    <t>11. Amortizare de active aferente functionarii intreprinderilor</t>
  </si>
  <si>
    <t> 11.1</t>
  </si>
  <si>
    <t xml:space="preserve">Amorizare investitie </t>
  </si>
  <si>
    <t>TOTAL Amortizare de active aferente functionarii intreprinderilor</t>
  </si>
  <si>
    <t>12. Cheltuieli financiare si juridice (notariale) aferente functionarii intreprinderilor</t>
  </si>
  <si>
    <t> 12.1</t>
  </si>
  <si>
    <t> 12.2</t>
  </si>
  <si>
    <t>TOTAL Cheltuieli financiare si juridice (notariale) aferente functionarii intreprinderilor</t>
  </si>
  <si>
    <t>13. Conectare la retele informatice aferente functionarii intreprinderilor</t>
  </si>
  <si>
    <t> 13.1</t>
  </si>
  <si>
    <t> 13.2</t>
  </si>
  <si>
    <t>TOTAL  Conectare la retele informatice aferente functionarii intreprinderilor</t>
  </si>
  <si>
    <t>14. Cheltuieli de informare si publicitate aferente functionarii intrerpinderilor</t>
  </si>
  <si>
    <t> 14.1</t>
  </si>
  <si>
    <t> 14.2</t>
  </si>
  <si>
    <t>TOTAL Cheltuieli de informare si publicitate aferente functionarii intrerpinderilor</t>
  </si>
  <si>
    <t>15. Alte cheltuieli aferente functionarii intreprinderilor</t>
  </si>
  <si>
    <t>Prelucrarea de date</t>
  </si>
  <si>
    <t>Intretinere, actualizare si dezvoltare de aplicatii informatice</t>
  </si>
  <si>
    <t>Achizitionare de publicatii, carti, reviste de specialitate relevante pentru operatiune, in format tiparit si /sau electronic</t>
  </si>
  <si>
    <t>Concesiuni, brevete, licente, marci comerciale, drepturi si active similare</t>
  </si>
  <si>
    <t>Cheltuieli de transport: aprovizionare si desfacere</t>
  </si>
  <si>
    <t>TOTAL Alte cheltuieli aferente functionarii intreprinderilor</t>
  </si>
  <si>
    <t>TOTAL GENERAL</t>
  </si>
  <si>
    <t>Valoare per Unitate RON</t>
  </si>
  <si>
    <t xml:space="preserve"> 1. Revizuiti bugetul de salarii  functie de  legislatia aplicabila de la 01.01.2019  - vezi  materiale si exemple                                                                                             2.   cel de-al doilea angajat incepe in luna 4 - daca  considerati ca nu reusiti sa finalizati  complet investitia si nu aveti  asigurate contracte, aveti in vedere decalarea angajarii cu  1 - 2 luni; Tineti cont ca prin proiect TREBUIE sa creati 2 locuri de munca cel tarziu  in luna a 6-a de la semnarea contractului de subventie.</t>
  </si>
  <si>
    <t>3.   Cheltuieli cu salariile sunt  cheltuieli eigibile, Decontati intregul buget de salarii din  subventie?</t>
  </si>
  <si>
    <t>4.  Subventia va fi  primita  in  30 -45 zile de la semnarea  contractului de finantare, pentru  primele  2 suni celtuielile  cu salarii si taxe aferente vos fi  relaizate din resurse proprii si de vor deconta din subventie.</t>
  </si>
  <si>
    <t>cheltuielile de deplasare  scurte de sub 12 ore  pentru contractare, aprovizionare, achizitii  care nu necesita cazare se vor deconta pe  baza de  foi de transport/ bon  benzina si  formular de deplasare - fara diurna - costurile de  deplasare  sunt  inregistrate la 2.3.</t>
  </si>
  <si>
    <t>1.  in primele 3 luni costurile de deplasare pentru achizitii elemente investitie vor fi suportate  din resurse proprii?</t>
  </si>
  <si>
    <t>2.  Aceste cheltuieli sunt eligibile  insa  fiind  realizate  de obicei in numerar sunt dificil de  documentat, recomand ca  acest tip de cheltuieli sa nu fie decontat din subventie</t>
  </si>
  <si>
    <t>revizuiti  cheltuielile cu contabilul dupa ce  ati identificat unul si ati negociat un contract de servicii pe primul an care sa includa si  asitenta  pentru  raportarea utilizarii  subventiei.</t>
  </si>
  <si>
    <t>asitenta  juridica  pentru infiintarea firmei  se realizeaza in  cadrul proiectului,, daca  aveti benoie de un jurist care sa va pregateasca documente de infiintare firma mentineti   suma estimata , daca nu, transferati-o  la  consultanta pentru obtinerea autorizatiilor de  functionare spacifice: protectia muncii...</t>
  </si>
  <si>
    <t>Cheltuielile de securizare/ asigurare masini si echipamente:   functie de  locatia punctului de lucru la care  depozitati masinile si echipamentele pe care le achizitionati in cadrul proiectului, revizuiti bugetul si aveti in vedere  achizitia  serviciilor de asigurare</t>
  </si>
  <si>
    <t>Actualizati intregul buget de  investitii in  mijloace fixe si obiecte de inventar,  fiecare element  al  investitiei  trebuie  fundamentat  cu 3 oferte,  valoarea finala  fiind  la alegerea D-voastra  functie de caracteristicile tehnice si functionale  mai  putin  functie de pret.</t>
  </si>
  <si>
    <t>Este  recomandata decontarea din  subventie a  investitiei.</t>
  </si>
  <si>
    <t>Toate achizitiile se fac  pe basa de factura prin transfer bancare</t>
  </si>
  <si>
    <t>Materia prima si materialele specifice activitatii achizitionate si care se deconteaza din  subventie trebuies   facturate si  platite prin transfer bancar</t>
  </si>
  <si>
    <t xml:space="preserve"> Identificati  sediul/ punctul de lucru,  incheiati un precontract de inchiriere si  mentionati-le in catul constitutiv la  societatii.  Poate  investitiile  relaizate in cadrul proiectului si decontate din subventie se realizeaza fie la sediul social  fie la punctul de lucru declarat  si  inregistrat  la RC.</t>
  </si>
  <si>
    <t>cheltuielile  cu  utilitatile sunt  decontabile din  subventie daca se fac  in numele societatii, daca nu doriti sa faceti contract de  furnizare pe societate, acestea pot fi incluse  in contractul de  chirie/ comodat al spatiului: sediu sau punct de lucru.</t>
  </si>
  <si>
    <t xml:space="preserve"> cheltuielile de marketing/ servicii de promovare sunt  decontate din  subventie   pe baza de contract/ factura si platite  prin transfer banacar.</t>
  </si>
  <si>
    <t>Amortizarea nu  se deconteaza din  bugetul  de subventie decai in cazul in care  raman rezerve  necheltuite pe  celelalte linii de buget</t>
  </si>
  <si>
    <t>Recomandari revizuite/ actualizare budet</t>
  </si>
  <si>
    <t>Decontare din  subventie</t>
  </si>
  <si>
    <t>total/partial</t>
  </si>
  <si>
    <t>???</t>
  </si>
  <si>
    <t>total/patial</t>
  </si>
  <si>
    <t xml:space="preserve"> NU</t>
  </si>
  <si>
    <t>Total/Partial</t>
  </si>
  <si>
    <t>Total  subventie: 178340 lei</t>
  </si>
  <si>
    <t>duse in luna 1</t>
  </si>
  <si>
    <t>Internetul cred ca o sa fie contractat pe firma si daca e posibil energia electrica cum inca un am un contract incheiat momentan</t>
  </si>
  <si>
    <t>bani alocati si necheltuiti se pot cheltui in anul 2???</t>
  </si>
  <si>
    <t>Indicator/ Perioada (luna -an 0)/ UM (lei)</t>
  </si>
  <si>
    <t>L1</t>
  </si>
  <si>
    <t>L2</t>
  </si>
  <si>
    <t>L3</t>
  </si>
  <si>
    <t>L4</t>
  </si>
  <si>
    <t>L5</t>
  </si>
  <si>
    <t>L6</t>
  </si>
  <si>
    <t>L7</t>
  </si>
  <si>
    <t>L8</t>
  </si>
  <si>
    <t>L9</t>
  </si>
  <si>
    <t>L10</t>
  </si>
  <si>
    <t>L11</t>
  </si>
  <si>
    <t>L12</t>
  </si>
  <si>
    <t>Resurse financiare la începutul perioadei</t>
  </si>
  <si>
    <t>Intrari din subvenție</t>
  </si>
  <si>
    <t>TOTAL INTRARI DE NUMERAR</t>
  </si>
  <si>
    <t>Cheltuieli operaţionale</t>
  </si>
  <si>
    <t>TOTAL IEŞIRI DE NUMERAR</t>
  </si>
  <si>
    <t>SURPLUS / DEFICIT NUMERAR</t>
  </si>
  <si>
    <r>
      <t>Flux de numerar  aferent subventiei</t>
    </r>
    <r>
      <rPr>
        <b/>
        <sz val="11"/>
        <color theme="1"/>
        <rFont val="Arial Narrow"/>
        <family val="2"/>
      </rPr>
      <t xml:space="preserve">  </t>
    </r>
  </si>
  <si>
    <t>L0</t>
  </si>
  <si>
    <t>Curs schimb proiect</t>
  </si>
  <si>
    <t>Cheltuieli pentru investiţii/ L0 - capital social</t>
  </si>
  <si>
    <t>TOTAL CHELTUIELI - amortizarea</t>
  </si>
  <si>
    <t>Materii prime anul 1</t>
  </si>
  <si>
    <t>Materiale si accesorii anul 1</t>
  </si>
  <si>
    <t xml:space="preserve">Masini si echipamente de Productie/ Prestari servicii </t>
  </si>
  <si>
    <t xml:space="preserve">Echipamente IT </t>
  </si>
  <si>
    <t xml:space="preserve">Mobilier </t>
  </si>
  <si>
    <t>Investitia - Active  necorporale programe</t>
  </si>
  <si>
    <t xml:space="preserve">Obiecte de inventar ( valoare achizitie &lt;2500 lei TVA inclus) </t>
  </si>
  <si>
    <t>Amanenajari spatii de Productie /Prestari servicii/Comert</t>
  </si>
  <si>
    <r>
      <t> </t>
    </r>
    <r>
      <rPr>
        <i/>
        <sz val="11"/>
        <color rgb="FF000000"/>
        <rFont val="Arial Narrow"/>
        <family val="2"/>
      </rPr>
      <t>Descriere cheltuială …………….</t>
    </r>
  </si>
  <si>
    <r>
      <t>  </t>
    </r>
    <r>
      <rPr>
        <i/>
        <sz val="11"/>
        <color rgb="FF000000"/>
        <rFont val="Arial Narrow"/>
        <family val="2"/>
      </rPr>
      <t>Descriere cheltuială …………….</t>
    </r>
  </si>
  <si>
    <t>Cheltuieli cu chiria  sediu social/punctului de lucru</t>
  </si>
  <si>
    <t>Cheltuieli  de marketing anul 1</t>
  </si>
  <si>
    <t>Total subventie transa I si II</t>
  </si>
  <si>
    <t>salariat 1 incepe in luna 2 Aprilie</t>
  </si>
  <si>
    <t>salariat 2 incepe in luna 3 Mai</t>
  </si>
  <si>
    <t>resurse proprii</t>
  </si>
  <si>
    <t>din subventie</t>
  </si>
  <si>
    <t>sediu social - resurse proprii</t>
  </si>
  <si>
    <t>punct lucru - resurse</t>
  </si>
  <si>
    <t>chirie punct lucru 100€+tva/ incep in luna 2 aprilie</t>
  </si>
  <si>
    <t>50€ inclus si e electrica/incep in luna 2 aprilie</t>
  </si>
  <si>
    <t>miniescavator</t>
  </si>
  <si>
    <t>rata schimb 1€ -5lei</t>
  </si>
  <si>
    <t>Echipament -motosapa, tractoras tuns iarba,motocositoare - miniescavator</t>
  </si>
  <si>
    <t>am ales un echipament de transpor de capacitate mai mica am preferat sa mai iau 2 echipamente care sunt foarte utile in perioada imediat urmatoare</t>
  </si>
  <si>
    <t>Modifiacari 13.03.2019 - Petru</t>
  </si>
  <si>
    <t>din subventie  / diferenta de la echipamente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</si>
</sst>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164" formatCode="_(* #,##0.00_);_(* \(#,##0.00\);_(* &quot;-&quot;??_);_(@_)"/>
    <numFmt numFmtId="165" formatCode="_(* #,##0_);_(* \(#,##0\);_(* &quot;-&quot;??_);_(@_)"/>
    <numFmt numFmtId="166" formatCode="0.0%"/>
    <numFmt numFmtId="167" formatCode="_(* #,##0.0_);_(* \(#,##0.0\);_(* &quot;-&quot;??_);_(@_)"/>
    <numFmt numFmtId="168" formatCode="_(* #,##0.0000_);_(* \(#,##0.0000\);_(* &quot;-&quot;??_);_(@_)"/>
    <numFmt numFmtId="169" formatCode="_(* #,##0.0_);_(* \(#,##0.0\);_(* &quot;-&quot;?_);_(@_)"/>
  </numFmts>
  <fonts count="53" x14ac:knownFonts="1">
    <font>
      <sz val="11"/>
      <color theme="1"/>
      <name val="Calibri"/>
      <family val="2"/>
      <scheme val="minor"/>
    </font>
    <font>
      <i/>
      <sz val="11"/>
      <color theme="1"/>
      <name val="Calibri"/>
      <family val="2"/>
      <charset val="238"/>
      <scheme val="minor"/>
    </font>
    <font>
      <sz val="11"/>
      <color theme="1"/>
      <name val="Calibri"/>
      <family val="2"/>
      <scheme val="minor"/>
    </font>
    <font>
      <sz val="11"/>
      <name val="Arial Narrow"/>
      <family val="2"/>
    </font>
    <font>
      <sz val="11"/>
      <color theme="1"/>
      <name val="Arial Narrow"/>
      <family val="2"/>
    </font>
    <font>
      <u/>
      <sz val="11"/>
      <color theme="10"/>
      <name val="Calibri"/>
      <family val="2"/>
      <scheme val="minor"/>
    </font>
    <font>
      <b/>
      <sz val="11"/>
      <color theme="1"/>
      <name val="Arial Narrow"/>
      <family val="2"/>
    </font>
    <font>
      <b/>
      <sz val="11"/>
      <color rgb="FF222222"/>
      <name val="Arial Narrow"/>
      <family val="2"/>
    </font>
    <font>
      <sz val="11"/>
      <color rgb="FF222222"/>
      <name val="Arial Narrow"/>
      <family val="2"/>
    </font>
    <font>
      <u/>
      <sz val="11"/>
      <color theme="10"/>
      <name val="Arial Narrow"/>
      <family val="2"/>
    </font>
    <font>
      <sz val="11"/>
      <color rgb="FFC00000"/>
      <name val="Arial Narrow"/>
      <family val="2"/>
    </font>
    <font>
      <b/>
      <sz val="11"/>
      <color rgb="FFC00000"/>
      <name val="Arial Narrow"/>
      <family val="2"/>
    </font>
    <font>
      <sz val="10"/>
      <name val="MS Sans Serif"/>
      <family val="2"/>
    </font>
    <font>
      <sz val="11"/>
      <color rgb="FF000000"/>
      <name val="Arial Narrow"/>
      <family val="2"/>
    </font>
    <font>
      <b/>
      <sz val="11"/>
      <color rgb="FF000000"/>
      <name val="Arial Narrow"/>
      <family val="2"/>
    </font>
    <font>
      <sz val="7"/>
      <color rgb="FF000000"/>
      <name val="Times New Roman"/>
      <family val="1"/>
    </font>
    <font>
      <i/>
      <sz val="11"/>
      <color rgb="FF000000"/>
      <name val="Arial Narrow"/>
      <family val="2"/>
    </font>
    <font>
      <b/>
      <sz val="7"/>
      <color rgb="FF000000"/>
      <name val="Times New Roman"/>
      <family val="1"/>
    </font>
    <font>
      <b/>
      <sz val="18"/>
      <color rgb="FF000000"/>
      <name val="Calibri"/>
      <family val="2"/>
      <scheme val="minor"/>
    </font>
    <font>
      <sz val="11"/>
      <color rgb="FFFF0000"/>
      <name val="Arial Narrow"/>
      <family val="2"/>
    </font>
    <font>
      <b/>
      <sz val="11"/>
      <name val="Arial Narrow"/>
      <family val="2"/>
    </font>
    <font>
      <b/>
      <i/>
      <sz val="11"/>
      <color theme="1"/>
      <name val="Arial Narrow"/>
      <family val="2"/>
    </font>
    <font>
      <i/>
      <sz val="11"/>
      <color theme="1"/>
      <name val="Arial Narrow"/>
      <family val="2"/>
    </font>
    <font>
      <b/>
      <sz val="11"/>
      <color indexed="10"/>
      <name val="Arial Narrow"/>
      <family val="2"/>
    </font>
    <font>
      <b/>
      <i/>
      <u/>
      <sz val="11"/>
      <name val="Arial Narrow"/>
      <family val="2"/>
    </font>
    <font>
      <b/>
      <sz val="11"/>
      <color theme="0"/>
      <name val="Arial Narrow"/>
      <family val="2"/>
    </font>
    <font>
      <sz val="10"/>
      <color theme="1"/>
      <name val="Arial Narrow"/>
      <family val="2"/>
    </font>
    <font>
      <b/>
      <sz val="11"/>
      <color rgb="FFFF0000"/>
      <name val="Arial Narrow"/>
      <family val="2"/>
    </font>
    <font>
      <b/>
      <sz val="10"/>
      <color theme="1"/>
      <name val="Arial Narrow"/>
      <family val="2"/>
    </font>
    <font>
      <b/>
      <sz val="10"/>
      <name val="Arial Narrow"/>
      <family val="2"/>
    </font>
    <font>
      <sz val="10"/>
      <name val="Arial Narrow"/>
      <family val="2"/>
    </font>
    <font>
      <sz val="11"/>
      <color rgb="FFFF0000"/>
      <name val="Calibri"/>
      <family val="2"/>
      <scheme val="minor"/>
    </font>
    <font>
      <b/>
      <sz val="11"/>
      <color indexed="8"/>
      <name val="Calibri"/>
      <family val="2"/>
    </font>
    <font>
      <sz val="11"/>
      <color indexed="8"/>
      <name val="Times New Roman"/>
      <family val="1"/>
    </font>
    <font>
      <b/>
      <sz val="11"/>
      <color indexed="8"/>
      <name val="Times New Roman"/>
      <family val="1"/>
    </font>
    <font>
      <sz val="12"/>
      <color indexed="8"/>
      <name val="Times New Roman"/>
      <family val="1"/>
    </font>
    <font>
      <sz val="11"/>
      <name val="Times New Roman"/>
      <family val="1"/>
    </font>
    <font>
      <sz val="11"/>
      <color indexed="8"/>
      <name val="Calibri"/>
      <family val="2"/>
    </font>
    <font>
      <b/>
      <sz val="12"/>
      <color indexed="8"/>
      <name val="Times New Roman"/>
      <family val="1"/>
    </font>
    <font>
      <sz val="14"/>
      <color rgb="FF000000"/>
      <name val="Calibri"/>
      <family val="2"/>
      <scheme val="minor"/>
    </font>
    <font>
      <sz val="11"/>
      <color rgb="FF000000"/>
      <name val="Calibri"/>
      <family val="2"/>
      <charset val="238"/>
      <scheme val="minor"/>
    </font>
    <font>
      <sz val="12"/>
      <name val="Times New Roman"/>
      <family val="1"/>
    </font>
    <font>
      <sz val="11"/>
      <color theme="1"/>
      <name val="Calibri"/>
      <family val="2"/>
      <charset val="238"/>
      <scheme val="minor"/>
    </font>
    <font>
      <i/>
      <sz val="14"/>
      <color theme="1"/>
      <name val="Calibri"/>
      <family val="2"/>
      <scheme val="minor"/>
    </font>
    <font>
      <sz val="14"/>
      <color theme="1"/>
      <name val="Calibri"/>
      <family val="2"/>
      <scheme val="minor"/>
    </font>
    <font>
      <b/>
      <sz val="20"/>
      <color theme="1"/>
      <name val="Calibri"/>
      <family val="2"/>
      <scheme val="minor"/>
    </font>
    <font>
      <sz val="12"/>
      <color rgb="FF000000"/>
      <name val="Arial Narrow"/>
      <family val="2"/>
    </font>
    <font>
      <sz val="11"/>
      <color rgb="FFFF0000"/>
      <name val="Calibri"/>
      <family val="2"/>
      <charset val="238"/>
      <scheme val="minor"/>
    </font>
    <font>
      <b/>
      <sz val="11"/>
      <color theme="1"/>
      <name val="Calibri"/>
      <family val="2"/>
      <scheme val="minor"/>
    </font>
    <font>
      <b/>
      <sz val="13"/>
      <color theme="1"/>
      <name val="Arial Narrow"/>
      <family val="2"/>
    </font>
    <font>
      <b/>
      <sz val="12"/>
      <color theme="1"/>
      <name val="Calibri"/>
      <family val="2"/>
      <scheme val="minor"/>
    </font>
    <font>
      <sz val="12"/>
      <color theme="1"/>
      <name val="Calibri"/>
      <family val="2"/>
      <scheme val="minor"/>
    </font>
    <font>
      <sz val="11"/>
      <color rgb="FF0070C0"/>
      <name val="Arial Narrow"/>
      <family val="2"/>
    </font>
  </fonts>
  <fills count="13">
    <fill>
      <patternFill patternType="none"/>
    </fill>
    <fill>
      <patternFill patternType="gray125"/>
    </fill>
    <fill>
      <patternFill patternType="solid">
        <fgColor theme="0"/>
        <bgColor indexed="64"/>
      </patternFill>
    </fill>
    <fill>
      <patternFill patternType="solid">
        <fgColor rgb="FFFFFF00"/>
        <bgColor indexed="64"/>
      </patternFill>
    </fill>
    <fill>
      <patternFill patternType="solid">
        <fgColor theme="7" tint="0.79998168889431442"/>
        <bgColor indexed="64"/>
      </patternFill>
    </fill>
    <fill>
      <patternFill patternType="solid">
        <fgColor theme="4" tint="0.39997558519241921"/>
        <bgColor indexed="64"/>
      </patternFill>
    </fill>
    <fill>
      <patternFill patternType="solid">
        <fgColor theme="4" tint="0.59999389629810485"/>
        <bgColor indexed="64"/>
      </patternFill>
    </fill>
    <fill>
      <patternFill patternType="solid">
        <fgColor theme="4" tint="0.79998168889431442"/>
        <bgColor indexed="64"/>
      </patternFill>
    </fill>
    <fill>
      <patternFill patternType="solid">
        <fgColor theme="4"/>
        <bgColor indexed="64"/>
      </patternFill>
    </fill>
    <fill>
      <patternFill patternType="solid">
        <fgColor theme="9" tint="0.59999389629810485"/>
        <bgColor indexed="64"/>
      </patternFill>
    </fill>
    <fill>
      <patternFill patternType="solid">
        <fgColor theme="4" tint="-0.249977111117893"/>
        <bgColor indexed="64"/>
      </patternFill>
    </fill>
    <fill>
      <patternFill patternType="solid">
        <fgColor rgb="FF66FF99"/>
        <bgColor indexed="64"/>
      </patternFill>
    </fill>
    <fill>
      <patternFill patternType="solid">
        <fgColor theme="5"/>
        <bgColor indexed="64"/>
      </patternFill>
    </fill>
  </fills>
  <borders count="56">
    <border>
      <left/>
      <right/>
      <top/>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
      <left style="thin">
        <color indexed="64"/>
      </left>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style="thin">
        <color indexed="64"/>
      </right>
      <top style="thin">
        <color indexed="64"/>
      </top>
      <bottom/>
      <diagonal/>
    </border>
    <border>
      <left style="thin">
        <color indexed="64"/>
      </left>
      <right style="medium">
        <color indexed="64"/>
      </right>
      <top style="medium">
        <color indexed="64"/>
      </top>
      <bottom/>
      <diagonal/>
    </border>
    <border>
      <left style="thin">
        <color indexed="64"/>
      </left>
      <right style="medium">
        <color indexed="64"/>
      </right>
      <top/>
      <bottom/>
      <diagonal/>
    </border>
    <border>
      <left/>
      <right style="thin">
        <color indexed="64"/>
      </right>
      <top/>
      <bottom style="thin">
        <color indexed="64"/>
      </bottom>
      <diagonal/>
    </border>
    <border>
      <left style="thin">
        <color indexed="64"/>
      </left>
      <right style="medium">
        <color indexed="64"/>
      </right>
      <top style="thin">
        <color indexed="64"/>
      </top>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right/>
      <top/>
      <bottom style="medium">
        <color indexed="64"/>
      </bottom>
      <diagonal/>
    </border>
    <border>
      <left/>
      <right style="medium">
        <color indexed="64"/>
      </right>
      <top/>
      <bottom/>
      <diagonal/>
    </border>
    <border>
      <left style="medium">
        <color indexed="64"/>
      </left>
      <right/>
      <top/>
      <bottom/>
      <diagonal/>
    </border>
    <border>
      <left style="medium">
        <color indexed="64"/>
      </left>
      <right/>
      <top style="medium">
        <color indexed="64"/>
      </top>
      <bottom style="thin">
        <color indexed="64"/>
      </bottom>
      <diagonal/>
    </border>
    <border>
      <left/>
      <right style="thin">
        <color indexed="64"/>
      </right>
      <top/>
      <bottom/>
      <diagonal/>
    </border>
    <border>
      <left style="medium">
        <color indexed="64"/>
      </left>
      <right style="medium">
        <color indexed="64"/>
      </right>
      <top style="thin">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top style="medium">
        <color indexed="64"/>
      </top>
      <bottom/>
      <diagonal/>
    </border>
    <border>
      <left style="medium">
        <color indexed="64"/>
      </left>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top style="thin">
        <color indexed="64"/>
      </top>
      <bottom/>
      <diagonal/>
    </border>
    <border>
      <left style="medium">
        <color indexed="64"/>
      </left>
      <right style="thin">
        <color indexed="64"/>
      </right>
      <top/>
      <bottom style="thin">
        <color indexed="64"/>
      </bottom>
      <diagonal/>
    </border>
    <border>
      <left style="thin">
        <color indexed="64"/>
      </left>
      <right/>
      <top style="thin">
        <color indexed="64"/>
      </top>
      <bottom style="medium">
        <color indexed="64"/>
      </bottom>
      <diagonal/>
    </border>
    <border>
      <left style="medium">
        <color indexed="64"/>
      </left>
      <right/>
      <top style="medium">
        <color indexed="64"/>
      </top>
      <bottom/>
      <diagonal/>
    </border>
    <border>
      <left/>
      <right style="medium">
        <color indexed="64"/>
      </right>
      <top style="medium">
        <color indexed="64"/>
      </top>
      <bottom/>
      <diagonal/>
    </border>
    <border>
      <left/>
      <right style="medium">
        <color indexed="64"/>
      </right>
      <top/>
      <bottom style="thin">
        <color indexed="64"/>
      </bottom>
      <diagonal/>
    </border>
    <border>
      <left style="medium">
        <color indexed="64"/>
      </left>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s>
  <cellStyleXfs count="6">
    <xf numFmtId="0" fontId="0" fillId="0" borderId="0"/>
    <xf numFmtId="164" fontId="2" fillId="0" borderId="0" applyFont="0" applyFill="0" applyBorder="0" applyAlignment="0" applyProtection="0"/>
    <xf numFmtId="9" fontId="2" fillId="0" borderId="0" applyFont="0" applyFill="0" applyBorder="0" applyAlignment="0" applyProtection="0"/>
    <xf numFmtId="0" fontId="5" fillId="0" borderId="0" applyNumberFormat="0" applyFill="0" applyBorder="0" applyAlignment="0" applyProtection="0"/>
    <xf numFmtId="0" fontId="12" fillId="0" borderId="0"/>
    <xf numFmtId="0" fontId="42" fillId="0" borderId="0"/>
  </cellStyleXfs>
  <cellXfs count="458">
    <xf numFmtId="0" fontId="0" fillId="0" borderId="0" xfId="0"/>
    <xf numFmtId="0" fontId="0" fillId="0" borderId="2" xfId="0" applyBorder="1"/>
    <xf numFmtId="0" fontId="6" fillId="0" borderId="0" xfId="0" applyFont="1"/>
    <xf numFmtId="165" fontId="4" fillId="0" borderId="2" xfId="1" applyNumberFormat="1" applyFont="1" applyBorder="1"/>
    <xf numFmtId="165" fontId="4" fillId="0" borderId="17" xfId="1" applyNumberFormat="1" applyFont="1" applyBorder="1"/>
    <xf numFmtId="0" fontId="4" fillId="0" borderId="2" xfId="0" applyFont="1" applyBorder="1"/>
    <xf numFmtId="0" fontId="6" fillId="0" borderId="2" xfId="0" applyFont="1" applyBorder="1"/>
    <xf numFmtId="0" fontId="4" fillId="0" borderId="0" xfId="0" applyFont="1"/>
    <xf numFmtId="164" fontId="4" fillId="0" borderId="0" xfId="0" applyNumberFormat="1" applyFont="1"/>
    <xf numFmtId="165" fontId="4" fillId="0" borderId="6" xfId="1" applyNumberFormat="1" applyFont="1" applyBorder="1"/>
    <xf numFmtId="165" fontId="4" fillId="0" borderId="10" xfId="1" applyNumberFormat="1" applyFont="1" applyBorder="1" applyAlignment="1">
      <alignment vertical="center" wrapText="1"/>
    </xf>
    <xf numFmtId="0" fontId="6" fillId="0" borderId="8" xfId="0" applyFont="1" applyBorder="1" applyAlignment="1">
      <alignment horizontal="center" vertical="center" wrapText="1"/>
    </xf>
    <xf numFmtId="0" fontId="6" fillId="0" borderId="19" xfId="0" applyFont="1" applyBorder="1" applyAlignment="1">
      <alignment horizontal="left" vertical="center" wrapText="1"/>
    </xf>
    <xf numFmtId="0" fontId="6" fillId="0" borderId="9" xfId="0" applyFont="1" applyBorder="1" applyAlignment="1">
      <alignment horizontal="left" vertical="center" wrapText="1"/>
    </xf>
    <xf numFmtId="0" fontId="4" fillId="0" borderId="0" xfId="0" applyFont="1" applyAlignment="1">
      <alignment horizontal="left" wrapText="1"/>
    </xf>
    <xf numFmtId="165" fontId="4" fillId="0" borderId="0" xfId="0" applyNumberFormat="1" applyFont="1"/>
    <xf numFmtId="0" fontId="10" fillId="0" borderId="2" xfId="0" applyFont="1" applyBorder="1"/>
    <xf numFmtId="165" fontId="10" fillId="0" borderId="2" xfId="1" applyNumberFormat="1" applyFont="1" applyBorder="1"/>
    <xf numFmtId="0" fontId="7" fillId="0" borderId="11" xfId="0" applyFont="1" applyBorder="1" applyAlignment="1">
      <alignment horizontal="left" vertical="center" wrapText="1"/>
    </xf>
    <xf numFmtId="0" fontId="10" fillId="0" borderId="15" xfId="0" applyFont="1" applyBorder="1"/>
    <xf numFmtId="0" fontId="8" fillId="0" borderId="14" xfId="0" applyFont="1" applyBorder="1" applyAlignment="1">
      <alignment horizontal="left" vertical="center" wrapText="1"/>
    </xf>
    <xf numFmtId="0" fontId="9" fillId="0" borderId="14" xfId="3" applyFont="1" applyBorder="1" applyAlignment="1">
      <alignment horizontal="left" vertical="center" wrapText="1"/>
    </xf>
    <xf numFmtId="0" fontId="9" fillId="0" borderId="16" xfId="3" applyFont="1" applyBorder="1" applyAlignment="1">
      <alignment horizontal="left" vertical="center" wrapText="1"/>
    </xf>
    <xf numFmtId="0" fontId="7" fillId="0" borderId="14" xfId="0" applyFont="1" applyBorder="1" applyAlignment="1">
      <alignment horizontal="left" vertical="center" wrapText="1"/>
    </xf>
    <xf numFmtId="0" fontId="4" fillId="0" borderId="16" xfId="0" applyFont="1" applyBorder="1" applyAlignment="1">
      <alignment horizontal="left" vertical="center" wrapText="1"/>
    </xf>
    <xf numFmtId="165" fontId="10" fillId="0" borderId="12" xfId="1" applyNumberFormat="1" applyFont="1" applyBorder="1"/>
    <xf numFmtId="165" fontId="10" fillId="0" borderId="17" xfId="1" applyNumberFormat="1" applyFont="1" applyBorder="1"/>
    <xf numFmtId="165" fontId="4" fillId="0" borderId="12" xfId="1" applyNumberFormat="1" applyFont="1" applyBorder="1"/>
    <xf numFmtId="165" fontId="11" fillId="0" borderId="12" xfId="1" applyNumberFormat="1" applyFont="1" applyBorder="1"/>
    <xf numFmtId="0" fontId="6" fillId="0" borderId="2" xfId="0" applyFont="1" applyBorder="1" applyAlignment="1">
      <alignment horizontal="center" vertical="center" wrapText="1"/>
    </xf>
    <xf numFmtId="0" fontId="6" fillId="0" borderId="21" xfId="0" applyFont="1" applyBorder="1" applyAlignment="1">
      <alignment horizontal="center" vertical="center" wrapText="1"/>
    </xf>
    <xf numFmtId="0" fontId="6" fillId="0" borderId="23" xfId="0" applyFont="1" applyBorder="1" applyAlignment="1">
      <alignment horizontal="center"/>
    </xf>
    <xf numFmtId="0" fontId="4" fillId="0" borderId="14" xfId="0" applyFont="1" applyBorder="1" applyAlignment="1">
      <alignment horizontal="left" vertical="center" wrapText="1"/>
    </xf>
    <xf numFmtId="0" fontId="4" fillId="0" borderId="14" xfId="0" applyFont="1" applyBorder="1" applyAlignment="1">
      <alignment horizontal="left" wrapText="1"/>
    </xf>
    <xf numFmtId="0" fontId="6" fillId="0" borderId="0" xfId="0" applyFont="1" applyAlignment="1">
      <alignment wrapText="1"/>
    </xf>
    <xf numFmtId="0" fontId="4" fillId="0" borderId="12" xfId="0" applyFont="1" applyBorder="1" applyAlignment="1">
      <alignment horizontal="center"/>
    </xf>
    <xf numFmtId="0" fontId="4" fillId="0" borderId="13" xfId="0" applyFont="1" applyBorder="1" applyAlignment="1">
      <alignment horizontal="center"/>
    </xf>
    <xf numFmtId="165" fontId="11" fillId="0" borderId="23" xfId="1" applyNumberFormat="1" applyFont="1" applyBorder="1" applyAlignment="1">
      <alignment horizontal="center"/>
    </xf>
    <xf numFmtId="165" fontId="11" fillId="0" borderId="22" xfId="1" applyNumberFormat="1" applyFont="1" applyBorder="1" applyAlignment="1">
      <alignment horizontal="center"/>
    </xf>
    <xf numFmtId="0" fontId="4" fillId="0" borderId="12" xfId="0" applyFont="1" applyBorder="1" applyAlignment="1">
      <alignment horizontal="center" wrapText="1"/>
    </xf>
    <xf numFmtId="0" fontId="4" fillId="0" borderId="13" xfId="0" applyFont="1" applyBorder="1" applyAlignment="1">
      <alignment horizontal="center" wrapText="1"/>
    </xf>
    <xf numFmtId="0" fontId="4" fillId="0" borderId="14" xfId="0" applyFont="1" applyBorder="1" applyAlignment="1">
      <alignment horizontal="left" vertical="top" wrapText="1"/>
    </xf>
    <xf numFmtId="0" fontId="6" fillId="0" borderId="11" xfId="0" applyFont="1" applyBorder="1" applyAlignment="1">
      <alignment horizontal="left" wrapText="1"/>
    </xf>
    <xf numFmtId="0" fontId="4" fillId="0" borderId="24" xfId="0" applyFont="1" applyBorder="1" applyAlignment="1">
      <alignment horizontal="left" wrapText="1"/>
    </xf>
    <xf numFmtId="0" fontId="4" fillId="0" borderId="21" xfId="0" applyFont="1" applyBorder="1" applyAlignment="1">
      <alignment horizontal="left" wrapText="1"/>
    </xf>
    <xf numFmtId="166" fontId="4" fillId="0" borderId="10" xfId="2" applyNumberFormat="1" applyFont="1" applyBorder="1" applyAlignment="1">
      <alignment horizontal="center" vertical="center" wrapText="1"/>
    </xf>
    <xf numFmtId="165" fontId="10" fillId="0" borderId="2" xfId="0" applyNumberFormat="1" applyFont="1" applyBorder="1" applyAlignment="1">
      <alignment horizontal="center" wrapText="1"/>
    </xf>
    <xf numFmtId="9" fontId="10" fillId="0" borderId="15" xfId="2" applyFont="1" applyBorder="1" applyAlignment="1">
      <alignment horizontal="center" wrapText="1"/>
    </xf>
    <xf numFmtId="165" fontId="10" fillId="0" borderId="2" xfId="0" applyNumberFormat="1" applyFont="1" applyBorder="1"/>
    <xf numFmtId="9" fontId="10" fillId="0" borderId="15" xfId="2" applyFont="1" applyBorder="1" applyAlignment="1">
      <alignment horizontal="center"/>
    </xf>
    <xf numFmtId="9" fontId="10" fillId="0" borderId="28" xfId="2" applyFont="1" applyBorder="1" applyAlignment="1">
      <alignment horizontal="center"/>
    </xf>
    <xf numFmtId="165" fontId="10" fillId="0" borderId="23" xfId="0" applyNumberFormat="1" applyFont="1" applyBorder="1"/>
    <xf numFmtId="9" fontId="10" fillId="0" borderId="22" xfId="0" applyNumberFormat="1" applyFont="1" applyBorder="1" applyAlignment="1">
      <alignment horizontal="center"/>
    </xf>
    <xf numFmtId="166" fontId="4" fillId="0" borderId="0" xfId="0" applyNumberFormat="1" applyFont="1"/>
    <xf numFmtId="0" fontId="4" fillId="0" borderId="16" xfId="0" applyFont="1" applyBorder="1" applyAlignment="1">
      <alignment horizontal="left" wrapText="1"/>
    </xf>
    <xf numFmtId="0" fontId="4" fillId="0" borderId="17" xfId="0" applyFont="1" applyBorder="1"/>
    <xf numFmtId="0" fontId="13" fillId="0" borderId="9" xfId="0" applyFont="1" applyBorder="1" applyAlignment="1">
      <alignment horizontal="left" vertical="center" wrapText="1" indent="4"/>
    </xf>
    <xf numFmtId="0" fontId="14" fillId="0" borderId="9" xfId="0" applyFont="1" applyBorder="1" applyAlignment="1">
      <alignment horizontal="left" vertical="center" wrapText="1" indent="2"/>
    </xf>
    <xf numFmtId="0" fontId="6" fillId="0" borderId="10" xfId="0" applyFont="1" applyBorder="1" applyAlignment="1">
      <alignment horizontal="center" vertical="center" wrapText="1"/>
    </xf>
    <xf numFmtId="0" fontId="13" fillId="0" borderId="0" xfId="0" applyFont="1" applyAlignment="1">
      <alignment vertical="center" wrapText="1"/>
    </xf>
    <xf numFmtId="0" fontId="13" fillId="0" borderId="0" xfId="0" applyFont="1" applyAlignment="1">
      <alignment horizontal="center" vertical="center" wrapText="1"/>
    </xf>
    <xf numFmtId="0" fontId="14" fillId="0" borderId="0" xfId="0" applyFont="1" applyAlignment="1">
      <alignment vertical="center" wrapText="1"/>
    </xf>
    <xf numFmtId="9" fontId="13" fillId="0" borderId="0" xfId="0" applyNumberFormat="1" applyFont="1" applyAlignment="1">
      <alignment horizontal="center" vertical="center" wrapText="1"/>
    </xf>
    <xf numFmtId="0" fontId="13" fillId="0" borderId="0" xfId="0" applyFont="1" applyAlignment="1">
      <alignment horizontal="left" vertical="center" wrapText="1" indent="4"/>
    </xf>
    <xf numFmtId="0" fontId="14" fillId="0" borderId="0" xfId="0" applyFont="1" applyAlignment="1">
      <alignment horizontal="left" vertical="center" wrapText="1" indent="2"/>
    </xf>
    <xf numFmtId="0" fontId="4" fillId="0" borderId="0" xfId="0" applyFont="1" applyAlignment="1">
      <alignment horizontal="center"/>
    </xf>
    <xf numFmtId="165" fontId="10" fillId="0" borderId="10" xfId="1" applyNumberFormat="1" applyFont="1" applyBorder="1" applyAlignment="1">
      <alignment vertical="center" wrapText="1"/>
    </xf>
    <xf numFmtId="166" fontId="10" fillId="0" borderId="10" xfId="2" applyNumberFormat="1" applyFont="1" applyBorder="1" applyAlignment="1">
      <alignment horizontal="center" vertical="center" wrapText="1"/>
    </xf>
    <xf numFmtId="9" fontId="10" fillId="0" borderId="10" xfId="0" applyNumberFormat="1" applyFont="1" applyBorder="1" applyAlignment="1">
      <alignment horizontal="center" vertical="center" wrapText="1"/>
    </xf>
    <xf numFmtId="0" fontId="18" fillId="0" borderId="0" xfId="0" applyFont="1" applyAlignment="1">
      <alignment horizontal="center" vertical="center" readingOrder="1"/>
    </xf>
    <xf numFmtId="0" fontId="18" fillId="0" borderId="0" xfId="0" applyFont="1" applyAlignment="1">
      <alignment horizontal="center" vertical="center"/>
    </xf>
    <xf numFmtId="9" fontId="6" fillId="0" borderId="10" xfId="2" applyFont="1" applyBorder="1" applyAlignment="1">
      <alignment horizontal="center" vertical="center" wrapText="1"/>
    </xf>
    <xf numFmtId="0" fontId="4" fillId="0" borderId="2" xfId="3" applyFont="1" applyBorder="1" applyAlignment="1">
      <alignment horizontal="left" vertical="center" wrapText="1"/>
    </xf>
    <xf numFmtId="0" fontId="8" fillId="0" borderId="2" xfId="0" applyFont="1" applyBorder="1" applyAlignment="1">
      <alignment horizontal="right" vertical="center" wrapText="1"/>
    </xf>
    <xf numFmtId="0" fontId="3" fillId="0" borderId="14" xfId="3" applyFont="1" applyBorder="1" applyAlignment="1">
      <alignment horizontal="left" vertical="center" wrapText="1"/>
    </xf>
    <xf numFmtId="0" fontId="6" fillId="0" borderId="2" xfId="0" applyFont="1" applyBorder="1" applyAlignment="1">
      <alignment horizontal="left" vertical="center" wrapText="1"/>
    </xf>
    <xf numFmtId="0" fontId="9" fillId="0" borderId="2" xfId="3" applyFont="1" applyBorder="1" applyAlignment="1">
      <alignment horizontal="left" vertical="center" wrapText="1"/>
    </xf>
    <xf numFmtId="165" fontId="6" fillId="0" borderId="2" xfId="1" applyNumberFormat="1" applyFont="1" applyBorder="1" applyAlignment="1">
      <alignment horizontal="left" vertical="center" wrapText="1"/>
    </xf>
    <xf numFmtId="165" fontId="11" fillId="0" borderId="2" xfId="1" applyNumberFormat="1" applyFont="1" applyBorder="1" applyAlignment="1">
      <alignment horizontal="left" vertical="center" wrapText="1"/>
    </xf>
    <xf numFmtId="165" fontId="6" fillId="0" borderId="2" xfId="1" applyNumberFormat="1" applyFont="1" applyBorder="1" applyAlignment="1">
      <alignment horizontal="left" wrapText="1"/>
    </xf>
    <xf numFmtId="165" fontId="6" fillId="0" borderId="1" xfId="1" applyNumberFormat="1" applyFont="1" applyBorder="1" applyAlignment="1">
      <alignment horizontal="left" vertical="center" wrapText="1"/>
    </xf>
    <xf numFmtId="165" fontId="11" fillId="0" borderId="0" xfId="1" applyNumberFormat="1" applyFont="1" applyAlignment="1">
      <alignment horizontal="left" vertical="center" wrapText="1"/>
    </xf>
    <xf numFmtId="0" fontId="6" fillId="0" borderId="0" xfId="0" applyFont="1" applyAlignment="1">
      <alignment horizontal="center" vertical="center" wrapText="1"/>
    </xf>
    <xf numFmtId="0" fontId="6" fillId="0" borderId="0" xfId="0" applyFont="1" applyAlignment="1">
      <alignment horizontal="center"/>
    </xf>
    <xf numFmtId="165" fontId="11" fillId="0" borderId="0" xfId="1" applyNumberFormat="1" applyFont="1" applyAlignment="1">
      <alignment horizontal="center"/>
    </xf>
    <xf numFmtId="0" fontId="6" fillId="0" borderId="2" xfId="0" applyFont="1" applyBorder="1" applyAlignment="1">
      <alignment horizontal="center"/>
    </xf>
    <xf numFmtId="165" fontId="11" fillId="0" borderId="2" xfId="1" applyNumberFormat="1" applyFont="1" applyBorder="1" applyAlignment="1">
      <alignment horizontal="center"/>
    </xf>
    <xf numFmtId="165" fontId="10" fillId="0" borderId="2" xfId="1" applyNumberFormat="1" applyFont="1" applyBorder="1" applyAlignment="1">
      <alignment horizontal="center"/>
    </xf>
    <xf numFmtId="165" fontId="6" fillId="0" borderId="2" xfId="1" applyNumberFormat="1" applyFont="1" applyBorder="1" applyAlignment="1">
      <alignment vertical="center" wrapText="1"/>
    </xf>
    <xf numFmtId="0" fontId="6" fillId="0" borderId="27" xfId="0" applyFont="1" applyBorder="1"/>
    <xf numFmtId="0" fontId="6" fillId="0" borderId="3" xfId="0" applyFont="1" applyBorder="1"/>
    <xf numFmtId="0" fontId="10" fillId="0" borderId="20" xfId="0" applyFont="1" applyBorder="1"/>
    <xf numFmtId="0" fontId="7" fillId="0" borderId="2" xfId="0" applyFont="1" applyBorder="1" applyAlignment="1">
      <alignment horizontal="left" vertical="center" wrapText="1"/>
    </xf>
    <xf numFmtId="165" fontId="4" fillId="0" borderId="14" xfId="0" applyNumberFormat="1" applyFont="1" applyBorder="1" applyAlignment="1">
      <alignment horizontal="left" vertical="top" wrapText="1"/>
    </xf>
    <xf numFmtId="165" fontId="0" fillId="0" borderId="2" xfId="0" applyNumberFormat="1" applyBorder="1"/>
    <xf numFmtId="165" fontId="11" fillId="0" borderId="23" xfId="1" applyNumberFormat="1" applyFont="1" applyBorder="1" applyAlignment="1">
      <alignment horizontal="left" vertical="center" wrapText="1"/>
    </xf>
    <xf numFmtId="0" fontId="3" fillId="0" borderId="14" xfId="0" applyFont="1" applyBorder="1" applyAlignment="1">
      <alignment horizontal="justify" vertical="center" wrapText="1"/>
    </xf>
    <xf numFmtId="0" fontId="4" fillId="0" borderId="0" xfId="0" applyFont="1" applyAlignment="1">
      <alignment horizontal="justify" vertical="center"/>
    </xf>
    <xf numFmtId="9" fontId="4" fillId="0" borderId="0" xfId="2" applyFont="1"/>
    <xf numFmtId="165" fontId="19" fillId="0" borderId="35" xfId="1" applyNumberFormat="1" applyFont="1" applyBorder="1" applyAlignment="1">
      <alignment horizontal="center"/>
    </xf>
    <xf numFmtId="165" fontId="4" fillId="0" borderId="2" xfId="1" applyNumberFormat="1" applyFont="1" applyBorder="1" applyAlignment="1">
      <alignment horizontal="justify" vertical="center" wrapText="1"/>
    </xf>
    <xf numFmtId="165" fontId="22" fillId="0" borderId="2" xfId="1" applyNumberFormat="1" applyFont="1" applyBorder="1" applyAlignment="1">
      <alignment horizontal="justify" vertical="center" wrapText="1"/>
    </xf>
    <xf numFmtId="167" fontId="4" fillId="0" borderId="2" xfId="1" applyNumberFormat="1" applyFont="1" applyBorder="1" applyAlignment="1">
      <alignment horizontal="justify" vertical="center" wrapText="1"/>
    </xf>
    <xf numFmtId="164" fontId="4" fillId="0" borderId="2" xfId="1" applyFont="1" applyBorder="1" applyAlignment="1">
      <alignment horizontal="justify" vertical="center" wrapText="1"/>
    </xf>
    <xf numFmtId="0" fontId="22" fillId="0" borderId="0" xfId="0" applyFont="1" applyAlignment="1">
      <alignment horizontal="justify" vertical="center" wrapText="1"/>
    </xf>
    <xf numFmtId="0" fontId="6" fillId="0" borderId="0" xfId="0" applyFont="1" applyAlignment="1">
      <alignment horizontal="justify" vertical="center" wrapText="1"/>
    </xf>
    <xf numFmtId="0" fontId="4" fillId="0" borderId="0" xfId="0" applyFont="1" applyAlignment="1">
      <alignment horizontal="justify" vertical="center" wrapText="1"/>
    </xf>
    <xf numFmtId="9" fontId="4" fillId="0" borderId="0" xfId="0" applyNumberFormat="1" applyFont="1" applyAlignment="1">
      <alignment horizontal="justify" vertical="center" wrapText="1"/>
    </xf>
    <xf numFmtId="165" fontId="4" fillId="0" borderId="0" xfId="1" applyNumberFormat="1" applyFont="1"/>
    <xf numFmtId="0" fontId="3" fillId="0" borderId="1" xfId="0" applyFont="1" applyBorder="1" applyAlignment="1">
      <alignment horizontal="center" vertical="center" wrapText="1"/>
    </xf>
    <xf numFmtId="0" fontId="3" fillId="0" borderId="16" xfId="0" applyFont="1" applyBorder="1" applyAlignment="1">
      <alignment horizontal="justify" vertical="center" wrapText="1"/>
    </xf>
    <xf numFmtId="165" fontId="6" fillId="0" borderId="0" xfId="1" applyNumberFormat="1" applyFont="1" applyAlignment="1">
      <alignment horizontal="left" vertical="center" wrapText="1"/>
    </xf>
    <xf numFmtId="165" fontId="19" fillId="0" borderId="0" xfId="1" applyNumberFormat="1" applyFont="1" applyAlignment="1">
      <alignment horizontal="center"/>
    </xf>
    <xf numFmtId="165" fontId="3" fillId="0" borderId="2" xfId="1" applyNumberFormat="1" applyFont="1" applyBorder="1" applyAlignment="1">
      <alignment horizontal="center" vertical="center" wrapText="1"/>
    </xf>
    <xf numFmtId="165" fontId="3" fillId="0" borderId="17" xfId="1" applyNumberFormat="1" applyFont="1" applyBorder="1" applyAlignment="1">
      <alignment horizontal="center" vertical="center" wrapText="1"/>
    </xf>
    <xf numFmtId="1" fontId="24" fillId="2" borderId="0" xfId="4" applyNumberFormat="1" applyFont="1" applyFill="1" applyProtection="1">
      <protection locked="0"/>
    </xf>
    <xf numFmtId="1" fontId="20" fillId="2" borderId="0" xfId="4" applyNumberFormat="1" applyFont="1" applyFill="1" applyAlignment="1" applyProtection="1">
      <alignment horizontal="right"/>
      <protection locked="0"/>
    </xf>
    <xf numFmtId="3" fontId="23" fillId="2" borderId="0" xfId="4" applyNumberFormat="1" applyFont="1" applyFill="1" applyAlignment="1" applyProtection="1">
      <alignment horizontal="right"/>
      <protection locked="0"/>
    </xf>
    <xf numFmtId="1" fontId="20" fillId="2" borderId="0" xfId="4" quotePrefix="1" applyNumberFormat="1" applyFont="1" applyFill="1" applyProtection="1">
      <protection locked="0"/>
    </xf>
    <xf numFmtId="3" fontId="25" fillId="2" borderId="0" xfId="4" applyNumberFormat="1" applyFont="1" applyFill="1" applyAlignment="1" applyProtection="1">
      <alignment horizontal="right"/>
      <protection locked="0"/>
    </xf>
    <xf numFmtId="1" fontId="20" fillId="2" borderId="0" xfId="4" quotePrefix="1" applyNumberFormat="1" applyFont="1" applyFill="1" applyAlignment="1" applyProtection="1">
      <alignment horizontal="left"/>
      <protection locked="0"/>
    </xf>
    <xf numFmtId="1" fontId="20" fillId="2" borderId="0" xfId="4" applyNumberFormat="1" applyFont="1" applyFill="1" applyAlignment="1" applyProtection="1">
      <alignment horizontal="left"/>
      <protection locked="0"/>
    </xf>
    <xf numFmtId="9" fontId="23" fillId="2" borderId="0" xfId="4" applyNumberFormat="1" applyFont="1" applyFill="1" applyAlignment="1" applyProtection="1">
      <alignment horizontal="right"/>
      <protection locked="0"/>
    </xf>
    <xf numFmtId="1" fontId="23" fillId="2" borderId="0" xfId="4" applyNumberFormat="1" applyFont="1" applyFill="1" applyAlignment="1" applyProtection="1">
      <alignment horizontal="right"/>
      <protection locked="0"/>
    </xf>
    <xf numFmtId="3" fontId="20" fillId="2" borderId="0" xfId="4" applyNumberFormat="1" applyFont="1" applyFill="1" applyAlignment="1" applyProtection="1">
      <alignment horizontal="right"/>
      <protection hidden="1"/>
    </xf>
    <xf numFmtId="1" fontId="20" fillId="2" borderId="0" xfId="4" applyNumberFormat="1" applyFont="1" applyFill="1" applyProtection="1">
      <protection locked="0"/>
    </xf>
    <xf numFmtId="1" fontId="20" fillId="2" borderId="0" xfId="4" applyNumberFormat="1" applyFont="1" applyFill="1" applyAlignment="1" applyProtection="1">
      <alignment wrapText="1"/>
      <protection locked="0"/>
    </xf>
    <xf numFmtId="3" fontId="20" fillId="2" borderId="0" xfId="4" applyNumberFormat="1" applyFont="1" applyFill="1" applyAlignment="1" applyProtection="1">
      <alignment horizontal="right"/>
      <protection locked="0"/>
    </xf>
    <xf numFmtId="0" fontId="4" fillId="0" borderId="42" xfId="0" applyFont="1" applyBorder="1" applyAlignment="1">
      <alignment horizontal="center" vertical="center" wrapText="1"/>
    </xf>
    <xf numFmtId="0" fontId="4" fillId="0" borderId="27" xfId="0" applyFont="1" applyBorder="1" applyAlignment="1">
      <alignment horizontal="left" vertical="center" wrapText="1"/>
    </xf>
    <xf numFmtId="0" fontId="4" fillId="0" borderId="6" xfId="0" applyFont="1" applyBorder="1" applyAlignment="1">
      <alignment horizontal="left" vertical="center" wrapText="1"/>
    </xf>
    <xf numFmtId="165" fontId="4" fillId="0" borderId="6" xfId="1" applyNumberFormat="1" applyFont="1" applyBorder="1" applyAlignment="1">
      <alignment horizontal="left" vertical="center" wrapText="1"/>
    </xf>
    <xf numFmtId="165" fontId="4" fillId="0" borderId="6" xfId="1" applyNumberFormat="1" applyFont="1" applyBorder="1" applyAlignment="1">
      <alignment horizontal="justify" vertical="center" wrapText="1"/>
    </xf>
    <xf numFmtId="165" fontId="21" fillId="0" borderId="6" xfId="1" applyNumberFormat="1" applyFont="1" applyBorder="1" applyAlignment="1">
      <alignment horizontal="justify" vertical="center" wrapText="1"/>
    </xf>
    <xf numFmtId="165" fontId="4" fillId="0" borderId="6" xfId="1" applyNumberFormat="1" applyFont="1" applyBorder="1" applyAlignment="1">
      <alignment horizontal="justify" vertical="top" wrapText="1"/>
    </xf>
    <xf numFmtId="165" fontId="4" fillId="0" borderId="6" xfId="1" applyNumberFormat="1" applyFont="1" applyBorder="1" applyAlignment="1">
      <alignment horizontal="left" vertical="top" wrapText="1"/>
    </xf>
    <xf numFmtId="0" fontId="4" fillId="0" borderId="6" xfId="0" applyFont="1" applyBorder="1" applyAlignment="1">
      <alignment horizontal="justify" vertical="center" wrapText="1"/>
    </xf>
    <xf numFmtId="1" fontId="20" fillId="2" borderId="0" xfId="4" applyNumberFormat="1" applyFont="1" applyFill="1" applyAlignment="1" applyProtection="1">
      <alignment horizontal="center"/>
      <protection locked="0"/>
    </xf>
    <xf numFmtId="165" fontId="4" fillId="0" borderId="2" xfId="0" applyNumberFormat="1" applyFont="1" applyBorder="1" applyAlignment="1">
      <alignment horizontal="center" vertical="center" wrapText="1"/>
    </xf>
    <xf numFmtId="165" fontId="6" fillId="0" borderId="5" xfId="1" applyNumberFormat="1" applyFont="1" applyBorder="1" applyAlignment="1">
      <alignment vertical="center" wrapText="1"/>
    </xf>
    <xf numFmtId="0" fontId="4" fillId="0" borderId="0" xfId="0" applyFont="1" applyAlignment="1">
      <alignment horizontal="center" vertical="center" wrapText="1"/>
    </xf>
    <xf numFmtId="165" fontId="6" fillId="0" borderId="0" xfId="1" applyNumberFormat="1" applyFont="1" applyAlignment="1">
      <alignment horizontal="left" wrapText="1"/>
    </xf>
    <xf numFmtId="165" fontId="10" fillId="0" borderId="0" xfId="1" applyNumberFormat="1" applyFont="1" applyAlignment="1">
      <alignment horizontal="center"/>
    </xf>
    <xf numFmtId="165" fontId="4" fillId="0" borderId="0" xfId="0" applyNumberFormat="1" applyFont="1" applyAlignment="1">
      <alignment horizontal="center" vertical="center" wrapText="1"/>
    </xf>
    <xf numFmtId="9" fontId="4" fillId="0" borderId="0" xfId="0" applyNumberFormat="1" applyFont="1" applyAlignment="1">
      <alignment horizontal="center" vertical="center" wrapText="1"/>
    </xf>
    <xf numFmtId="9" fontId="4" fillId="0" borderId="0" xfId="0" applyNumberFormat="1" applyFont="1"/>
    <xf numFmtId="0" fontId="4" fillId="0" borderId="0" xfId="0" applyFont="1" applyAlignment="1">
      <alignment vertical="top"/>
    </xf>
    <xf numFmtId="165" fontId="4" fillId="0" borderId="0" xfId="0" applyNumberFormat="1" applyFont="1" applyAlignment="1">
      <alignment horizontal="center"/>
    </xf>
    <xf numFmtId="165" fontId="19" fillId="0" borderId="2" xfId="1" applyNumberFormat="1" applyFont="1" applyBorder="1"/>
    <xf numFmtId="0" fontId="26" fillId="0" borderId="0" xfId="0" applyFont="1" applyAlignment="1">
      <alignment wrapText="1"/>
    </xf>
    <xf numFmtId="165" fontId="4" fillId="0" borderId="0" xfId="2" applyNumberFormat="1" applyFont="1"/>
    <xf numFmtId="0" fontId="3" fillId="0" borderId="32" xfId="0" applyFont="1" applyBorder="1" applyAlignment="1">
      <alignment horizontal="center" vertical="center" wrapText="1"/>
    </xf>
    <xf numFmtId="0" fontId="3" fillId="0" borderId="33" xfId="0" applyFont="1" applyBorder="1" applyAlignment="1">
      <alignment horizontal="center" vertical="center" wrapText="1"/>
    </xf>
    <xf numFmtId="0" fontId="3" fillId="0" borderId="0" xfId="0" applyFont="1" applyAlignment="1">
      <alignment horizontal="center" vertical="center" wrapText="1"/>
    </xf>
    <xf numFmtId="0" fontId="3" fillId="0" borderId="41" xfId="0" applyFont="1" applyBorder="1" applyAlignment="1">
      <alignment horizontal="center" vertical="center" wrapText="1"/>
    </xf>
    <xf numFmtId="0" fontId="20" fillId="0" borderId="4" xfId="0" applyFont="1" applyBorder="1" applyAlignment="1">
      <alignment horizontal="center" vertical="center" wrapText="1"/>
    </xf>
    <xf numFmtId="165" fontId="19" fillId="0" borderId="36" xfId="0" applyNumberFormat="1" applyFont="1" applyBorder="1" applyAlignment="1">
      <alignment horizontal="center" vertical="center" wrapText="1"/>
    </xf>
    <xf numFmtId="165" fontId="19" fillId="0" borderId="14" xfId="1" applyNumberFormat="1" applyFont="1" applyBorder="1" applyAlignment="1">
      <alignment horizontal="center" vertical="center" wrapText="1"/>
    </xf>
    <xf numFmtId="165" fontId="19" fillId="0" borderId="2" xfId="1" applyNumberFormat="1" applyFont="1" applyBorder="1" applyAlignment="1">
      <alignment horizontal="center" vertical="center" wrapText="1"/>
    </xf>
    <xf numFmtId="165" fontId="19" fillId="0" borderId="36" xfId="0" applyNumberFormat="1" applyFont="1" applyBorder="1"/>
    <xf numFmtId="165" fontId="19" fillId="0" borderId="14" xfId="0" applyNumberFormat="1" applyFont="1" applyBorder="1"/>
    <xf numFmtId="165" fontId="27" fillId="0" borderId="14" xfId="0" applyNumberFormat="1" applyFont="1" applyBorder="1" applyAlignment="1">
      <alignment horizontal="center" vertical="center" wrapText="1"/>
    </xf>
    <xf numFmtId="165" fontId="27" fillId="0" borderId="16" xfId="0" applyNumberFormat="1" applyFont="1" applyBorder="1" applyAlignment="1">
      <alignment horizontal="center" vertical="center" wrapText="1"/>
    </xf>
    <xf numFmtId="9" fontId="4" fillId="0" borderId="0" xfId="2" applyFont="1" applyAlignment="1">
      <alignment horizontal="center" vertical="center" wrapText="1"/>
    </xf>
    <xf numFmtId="0" fontId="26" fillId="0" borderId="0" xfId="0" applyFont="1" applyAlignment="1">
      <alignment horizontal="center" wrapText="1"/>
    </xf>
    <xf numFmtId="165" fontId="4" fillId="0" borderId="0" xfId="1" applyNumberFormat="1" applyFont="1" applyAlignment="1">
      <alignment horizontal="center"/>
    </xf>
    <xf numFmtId="164" fontId="6" fillId="0" borderId="0" xfId="0" applyNumberFormat="1" applyFont="1" applyAlignment="1">
      <alignment vertical="center"/>
    </xf>
    <xf numFmtId="0" fontId="6" fillId="0" borderId="0" xfId="0" applyFont="1" applyAlignment="1">
      <alignment vertical="center"/>
    </xf>
    <xf numFmtId="0" fontId="4" fillId="0" borderId="0" xfId="0" applyFont="1" applyAlignment="1">
      <alignment horizontal="left" vertical="center" wrapText="1"/>
    </xf>
    <xf numFmtId="165" fontId="4" fillId="0" borderId="0" xfId="1" applyNumberFormat="1" applyFont="1" applyAlignment="1">
      <alignment horizontal="left" vertical="center" wrapText="1"/>
    </xf>
    <xf numFmtId="167" fontId="4" fillId="0" borderId="0" xfId="1" applyNumberFormat="1" applyFont="1" applyAlignment="1">
      <alignment horizontal="justify" vertical="center" wrapText="1"/>
    </xf>
    <xf numFmtId="165" fontId="4" fillId="0" borderId="0" xfId="1" applyNumberFormat="1" applyFont="1" applyAlignment="1">
      <alignment horizontal="left" vertical="top" wrapText="1"/>
    </xf>
    <xf numFmtId="165" fontId="4" fillId="0" borderId="0" xfId="1" applyNumberFormat="1" applyFont="1" applyAlignment="1">
      <alignment horizontal="justify" vertical="center" wrapText="1"/>
    </xf>
    <xf numFmtId="165" fontId="21" fillId="0" borderId="0" xfId="1" applyNumberFormat="1" applyFont="1" applyAlignment="1">
      <alignment horizontal="justify" vertical="center" wrapText="1"/>
    </xf>
    <xf numFmtId="165" fontId="22" fillId="0" borderId="0" xfId="1" applyNumberFormat="1" applyFont="1" applyAlignment="1">
      <alignment horizontal="justify" vertical="center" wrapText="1"/>
    </xf>
    <xf numFmtId="165" fontId="19" fillId="0" borderId="0" xfId="1" applyNumberFormat="1" applyFont="1"/>
    <xf numFmtId="165" fontId="6" fillId="0" borderId="0" xfId="1" applyNumberFormat="1" applyFont="1" applyAlignment="1">
      <alignment vertical="center" wrapText="1"/>
    </xf>
    <xf numFmtId="164" fontId="4" fillId="0" borderId="0" xfId="1" applyFont="1" applyAlignment="1">
      <alignment horizontal="justify" vertical="center" wrapText="1"/>
    </xf>
    <xf numFmtId="165" fontId="4" fillId="0" borderId="0" xfId="1" applyNumberFormat="1" applyFont="1" applyAlignment="1">
      <alignment horizontal="justify" vertical="top" wrapText="1"/>
    </xf>
    <xf numFmtId="0" fontId="20" fillId="0" borderId="0" xfId="0" applyFont="1" applyAlignment="1">
      <alignment horizontal="center" vertical="top"/>
    </xf>
    <xf numFmtId="164" fontId="6" fillId="0" borderId="0" xfId="1" applyFont="1" applyAlignment="1">
      <alignment horizontal="left" vertical="center" wrapText="1"/>
    </xf>
    <xf numFmtId="1" fontId="20" fillId="2" borderId="0" xfId="4" applyNumberFormat="1" applyFont="1" applyFill="1" applyAlignment="1" applyProtection="1">
      <alignment horizontal="centerContinuous"/>
      <protection locked="0"/>
    </xf>
    <xf numFmtId="3" fontId="20" fillId="2" borderId="0" xfId="4" applyNumberFormat="1" applyFont="1" applyFill="1" applyAlignment="1" applyProtection="1">
      <alignment horizontal="center"/>
      <protection hidden="1"/>
    </xf>
    <xf numFmtId="1" fontId="20" fillId="2" borderId="0" xfId="4" applyNumberFormat="1" applyFont="1" applyFill="1" applyAlignment="1" applyProtection="1">
      <alignment horizontal="center"/>
      <protection hidden="1"/>
    </xf>
    <xf numFmtId="0" fontId="20" fillId="2" borderId="0" xfId="4" applyFont="1" applyFill="1"/>
    <xf numFmtId="165" fontId="4" fillId="0" borderId="4" xfId="0" applyNumberFormat="1" applyFont="1" applyBorder="1" applyAlignment="1">
      <alignment horizontal="center" vertical="center" wrapText="1"/>
    </xf>
    <xf numFmtId="167" fontId="4" fillId="0" borderId="4" xfId="1" applyNumberFormat="1" applyFont="1" applyBorder="1" applyAlignment="1">
      <alignment horizontal="justify" vertical="center" wrapText="1"/>
    </xf>
    <xf numFmtId="165" fontId="4" fillId="0" borderId="4" xfId="1" applyNumberFormat="1" applyFont="1" applyBorder="1" applyAlignment="1">
      <alignment horizontal="justify" vertical="center" wrapText="1"/>
    </xf>
    <xf numFmtId="164" fontId="4" fillId="0" borderId="4" xfId="1" applyFont="1" applyBorder="1" applyAlignment="1">
      <alignment horizontal="justify" vertical="center" wrapText="1"/>
    </xf>
    <xf numFmtId="0" fontId="4" fillId="0" borderId="2" xfId="0" applyFont="1" applyBorder="1" applyAlignment="1">
      <alignment horizontal="center" vertical="center" wrapText="1"/>
    </xf>
    <xf numFmtId="165" fontId="0" fillId="0" borderId="0" xfId="0" applyNumberFormat="1"/>
    <xf numFmtId="0" fontId="4" fillId="0" borderId="1" xfId="0" applyFont="1" applyBorder="1"/>
    <xf numFmtId="165" fontId="21" fillId="0" borderId="42" xfId="1" applyNumberFormat="1" applyFont="1" applyBorder="1" applyAlignment="1">
      <alignment horizontal="justify" vertical="center" wrapText="1"/>
    </xf>
    <xf numFmtId="165" fontId="22" fillId="0" borderId="1" xfId="1" applyNumberFormat="1" applyFont="1" applyBorder="1" applyAlignment="1">
      <alignment horizontal="justify" vertical="center" wrapText="1"/>
    </xf>
    <xf numFmtId="165" fontId="4" fillId="0" borderId="41" xfId="1" applyNumberFormat="1" applyFont="1" applyBorder="1" applyAlignment="1">
      <alignment horizontal="justify" vertical="center" wrapText="1"/>
    </xf>
    <xf numFmtId="165" fontId="4" fillId="0" borderId="1" xfId="1" applyNumberFormat="1" applyFont="1" applyBorder="1"/>
    <xf numFmtId="165" fontId="19" fillId="0" borderId="1" xfId="1" applyNumberFormat="1" applyFont="1" applyBorder="1"/>
    <xf numFmtId="165" fontId="27" fillId="0" borderId="23" xfId="1" applyNumberFormat="1" applyFont="1" applyBorder="1" applyAlignment="1">
      <alignment horizontal="left" vertical="center" wrapText="1"/>
    </xf>
    <xf numFmtId="165" fontId="27" fillId="0" borderId="22" xfId="1" applyNumberFormat="1" applyFont="1" applyBorder="1" applyAlignment="1">
      <alignment horizontal="left" vertical="center" wrapText="1"/>
    </xf>
    <xf numFmtId="165" fontId="10" fillId="0" borderId="1" xfId="1" applyNumberFormat="1" applyFont="1" applyBorder="1"/>
    <xf numFmtId="168" fontId="0" fillId="0" borderId="0" xfId="0" applyNumberFormat="1"/>
    <xf numFmtId="1" fontId="4" fillId="0" borderId="2" xfId="0" applyNumberFormat="1" applyFont="1" applyBorder="1" applyAlignment="1">
      <alignment horizontal="center" vertical="center" wrapText="1"/>
    </xf>
    <xf numFmtId="0" fontId="4" fillId="0" borderId="14" xfId="3" applyFont="1" applyBorder="1" applyAlignment="1">
      <alignment horizontal="left" vertical="center" wrapText="1"/>
    </xf>
    <xf numFmtId="165" fontId="3" fillId="0" borderId="37" xfId="1" applyNumberFormat="1" applyFont="1" applyBorder="1" applyAlignment="1">
      <alignment horizontal="center" vertical="center" wrapText="1"/>
    </xf>
    <xf numFmtId="165" fontId="3" fillId="0" borderId="5" xfId="1" applyNumberFormat="1" applyFont="1" applyBorder="1" applyAlignment="1">
      <alignment horizontal="center" vertical="center" wrapText="1"/>
    </xf>
    <xf numFmtId="165" fontId="3" fillId="0" borderId="44" xfId="1" applyNumberFormat="1" applyFont="1" applyBorder="1" applyAlignment="1">
      <alignment horizontal="center" vertical="center" wrapText="1"/>
    </xf>
    <xf numFmtId="0" fontId="3" fillId="0" borderId="2" xfId="0" applyFont="1" applyBorder="1" applyAlignment="1">
      <alignment horizontal="center" vertical="center" wrapText="1"/>
    </xf>
    <xf numFmtId="0" fontId="4" fillId="0" borderId="2" xfId="0" applyFont="1" applyBorder="1" applyAlignment="1">
      <alignment vertical="top" wrapText="1"/>
    </xf>
    <xf numFmtId="0" fontId="3" fillId="0" borderId="15" xfId="0" applyFont="1" applyBorder="1" applyAlignment="1">
      <alignment horizontal="center" vertical="center" wrapText="1"/>
    </xf>
    <xf numFmtId="165" fontId="3" fillId="0" borderId="15" xfId="1" applyNumberFormat="1" applyFont="1" applyBorder="1" applyAlignment="1">
      <alignment horizontal="center" vertical="center" wrapText="1"/>
    </xf>
    <xf numFmtId="0" fontId="4" fillId="0" borderId="17" xfId="0" applyFont="1" applyBorder="1" applyAlignment="1">
      <alignment vertical="top" wrapText="1"/>
    </xf>
    <xf numFmtId="0" fontId="4" fillId="0" borderId="0" xfId="0" applyFont="1" applyAlignment="1">
      <alignment vertical="center" wrapText="1"/>
    </xf>
    <xf numFmtId="9" fontId="6" fillId="0" borderId="0" xfId="2" applyFont="1" applyAlignment="1">
      <alignment vertical="center"/>
    </xf>
    <xf numFmtId="0" fontId="4" fillId="0" borderId="26" xfId="0" applyFont="1" applyBorder="1" applyAlignment="1">
      <alignment horizontal="center" vertical="top"/>
    </xf>
    <xf numFmtId="0" fontId="20" fillId="0" borderId="2" xfId="0" applyFont="1" applyBorder="1"/>
    <xf numFmtId="0" fontId="4" fillId="0" borderId="21" xfId="0" applyFont="1" applyBorder="1"/>
    <xf numFmtId="0" fontId="9" fillId="0" borderId="45" xfId="3" applyFont="1" applyBorder="1" applyAlignment="1">
      <alignment horizontal="left" vertical="center" wrapText="1"/>
    </xf>
    <xf numFmtId="165" fontId="4" fillId="0" borderId="3" xfId="1" applyNumberFormat="1" applyFont="1" applyBorder="1"/>
    <xf numFmtId="0" fontId="4" fillId="0" borderId="2" xfId="0" applyFont="1" applyBorder="1" applyAlignment="1">
      <alignment vertical="center" wrapText="1"/>
    </xf>
    <xf numFmtId="165" fontId="4" fillId="0" borderId="2" xfId="1" applyNumberFormat="1" applyFont="1" applyBorder="1" applyAlignment="1">
      <alignment wrapText="1"/>
    </xf>
    <xf numFmtId="165" fontId="3" fillId="0" borderId="0" xfId="0" applyNumberFormat="1" applyFont="1" applyAlignment="1">
      <alignment horizontal="center" vertical="center" wrapText="1"/>
    </xf>
    <xf numFmtId="165" fontId="28" fillId="0" borderId="0" xfId="1" applyNumberFormat="1" applyFont="1" applyAlignment="1">
      <alignment vertical="center" wrapText="1"/>
    </xf>
    <xf numFmtId="165" fontId="26" fillId="0" borderId="0" xfId="1" applyNumberFormat="1" applyFont="1" applyAlignment="1">
      <alignment horizontal="left" vertical="center" wrapText="1"/>
    </xf>
    <xf numFmtId="0" fontId="29" fillId="0" borderId="0" xfId="0" applyFont="1" applyAlignment="1">
      <alignment horizontal="center" vertical="top"/>
    </xf>
    <xf numFmtId="0" fontId="30" fillId="0" borderId="0" xfId="0" applyFont="1" applyAlignment="1">
      <alignment horizontal="center" vertical="center" wrapText="1"/>
    </xf>
    <xf numFmtId="165" fontId="30" fillId="0" borderId="0" xfId="0" applyNumberFormat="1" applyFont="1" applyAlignment="1">
      <alignment horizontal="center" vertical="center" wrapText="1"/>
    </xf>
    <xf numFmtId="165" fontId="28" fillId="0" borderId="0" xfId="1" applyNumberFormat="1" applyFont="1" applyAlignment="1">
      <alignment horizontal="left" vertical="center" wrapText="1"/>
    </xf>
    <xf numFmtId="164" fontId="28" fillId="0" borderId="0" xfId="1" applyFont="1" applyAlignment="1">
      <alignment horizontal="left" vertical="center" wrapText="1"/>
    </xf>
    <xf numFmtId="0" fontId="38" fillId="0" borderId="19" xfId="0" applyFont="1" applyBorder="1" applyAlignment="1">
      <alignment vertical="center"/>
    </xf>
    <xf numFmtId="0" fontId="38" fillId="0" borderId="0" xfId="0" applyFont="1" applyAlignment="1">
      <alignment vertical="center"/>
    </xf>
    <xf numFmtId="4" fontId="35" fillId="0" borderId="0" xfId="0" applyNumberFormat="1" applyFont="1" applyAlignment="1">
      <alignment vertical="center"/>
    </xf>
    <xf numFmtId="0" fontId="38" fillId="0" borderId="19" xfId="0" applyFont="1" applyBorder="1" applyAlignment="1">
      <alignment horizontal="center" vertical="center" wrapText="1"/>
    </xf>
    <xf numFmtId="0" fontId="38" fillId="0" borderId="19" xfId="0" applyFont="1" applyBorder="1" applyAlignment="1">
      <alignment vertical="center" wrapText="1"/>
    </xf>
    <xf numFmtId="0" fontId="35" fillId="0" borderId="19" xfId="0" applyFont="1" applyBorder="1" applyAlignment="1">
      <alignment vertical="center" wrapText="1"/>
    </xf>
    <xf numFmtId="4" fontId="0" fillId="0" borderId="0" xfId="0" applyNumberFormat="1"/>
    <xf numFmtId="0" fontId="0" fillId="0" borderId="1" xfId="0" applyBorder="1"/>
    <xf numFmtId="0" fontId="32" fillId="0" borderId="1" xfId="0" applyFont="1" applyBorder="1" applyAlignment="1">
      <alignment wrapText="1"/>
    </xf>
    <xf numFmtId="0" fontId="33" fillId="0" borderId="11" xfId="0" applyFont="1" applyBorder="1"/>
    <xf numFmtId="0" fontId="33" fillId="0" borderId="12" xfId="0" applyFont="1" applyBorder="1" applyAlignment="1">
      <alignment wrapText="1"/>
    </xf>
    <xf numFmtId="0" fontId="34" fillId="0" borderId="12" xfId="0" applyFont="1" applyBorder="1"/>
    <xf numFmtId="0" fontId="33" fillId="0" borderId="14" xfId="0" applyFont="1" applyBorder="1" applyAlignment="1">
      <alignment horizontal="center" vertical="center"/>
    </xf>
    <xf numFmtId="0" fontId="33" fillId="0" borderId="2" xfId="0" applyFont="1" applyBorder="1" applyAlignment="1">
      <alignment wrapText="1"/>
    </xf>
    <xf numFmtId="0" fontId="33" fillId="0" borderId="2" xfId="0" applyFont="1" applyBorder="1" applyAlignment="1">
      <alignment vertical="center" wrapText="1"/>
    </xf>
    <xf numFmtId="0" fontId="34" fillId="0" borderId="2" xfId="0" applyFont="1" applyBorder="1" applyAlignment="1">
      <alignment wrapText="1"/>
    </xf>
    <xf numFmtId="0" fontId="35" fillId="0" borderId="2" xfId="0" applyFont="1" applyBorder="1" applyAlignment="1">
      <alignment wrapText="1"/>
    </xf>
    <xf numFmtId="0" fontId="36" fillId="0" borderId="2" xfId="0" applyFont="1" applyBorder="1" applyAlignment="1">
      <alignment wrapText="1"/>
    </xf>
    <xf numFmtId="0" fontId="37" fillId="0" borderId="2" xfId="0" applyFont="1" applyBorder="1" applyAlignment="1">
      <alignment wrapText="1"/>
    </xf>
    <xf numFmtId="0" fontId="32" fillId="0" borderId="2" xfId="0" applyFont="1" applyBorder="1" applyAlignment="1">
      <alignment wrapText="1"/>
    </xf>
    <xf numFmtId="0" fontId="32" fillId="0" borderId="2" xfId="0" applyFont="1" applyBorder="1" applyAlignment="1">
      <alignment vertical="center" wrapText="1"/>
    </xf>
    <xf numFmtId="0" fontId="33" fillId="0" borderId="16" xfId="0" applyFont="1" applyBorder="1" applyAlignment="1">
      <alignment horizontal="center" vertical="center"/>
    </xf>
    <xf numFmtId="0" fontId="32" fillId="0" borderId="17" xfId="0" applyFont="1" applyBorder="1" applyAlignment="1">
      <alignment wrapText="1"/>
    </xf>
    <xf numFmtId="4" fontId="32" fillId="0" borderId="17" xfId="0" applyNumberFormat="1" applyFont="1" applyBorder="1"/>
    <xf numFmtId="0" fontId="39" fillId="0" borderId="2" xfId="0" applyFont="1" applyBorder="1" applyAlignment="1">
      <alignment wrapText="1"/>
    </xf>
    <xf numFmtId="0" fontId="40" fillId="0" borderId="6" xfId="0" applyFont="1" applyBorder="1"/>
    <xf numFmtId="0" fontId="39" fillId="0" borderId="3" xfId="0" applyFont="1" applyBorder="1" applyAlignment="1">
      <alignment wrapText="1"/>
    </xf>
    <xf numFmtId="0" fontId="40" fillId="0" borderId="27" xfId="0" applyFont="1" applyBorder="1"/>
    <xf numFmtId="0" fontId="3" fillId="0" borderId="24" xfId="0" applyFont="1" applyBorder="1" applyAlignment="1">
      <alignment horizontal="justify" vertical="center" wrapText="1"/>
    </xf>
    <xf numFmtId="165" fontId="3" fillId="0" borderId="1" xfId="1" applyNumberFormat="1" applyFont="1" applyBorder="1" applyAlignment="1">
      <alignment horizontal="center" vertical="center" wrapText="1"/>
    </xf>
    <xf numFmtId="169" fontId="0" fillId="0" borderId="0" xfId="0" applyNumberFormat="1"/>
    <xf numFmtId="3" fontId="34" fillId="0" borderId="2" xfId="0" applyNumberFormat="1" applyFont="1" applyBorder="1"/>
    <xf numFmtId="0" fontId="31" fillId="3" borderId="0" xfId="0" applyFont="1" applyFill="1"/>
    <xf numFmtId="3" fontId="0" fillId="0" borderId="0" xfId="0" applyNumberFormat="1"/>
    <xf numFmtId="9" fontId="0" fillId="0" borderId="0" xfId="2" applyFont="1"/>
    <xf numFmtId="0" fontId="38" fillId="3" borderId="19" xfId="0" applyFont="1" applyFill="1" applyBorder="1" applyAlignment="1">
      <alignment horizontal="center" vertical="center" wrapText="1"/>
    </xf>
    <xf numFmtId="0" fontId="38" fillId="3" borderId="19" xfId="0" applyFont="1" applyFill="1" applyBorder="1" applyAlignment="1">
      <alignment vertical="center" wrapText="1"/>
    </xf>
    <xf numFmtId="165" fontId="26" fillId="0" borderId="0" xfId="1" applyNumberFormat="1" applyFont="1" applyAlignment="1">
      <alignment vertical="center" wrapText="1"/>
    </xf>
    <xf numFmtId="1" fontId="42" fillId="6" borderId="2" xfId="5" applyNumberFormat="1" applyFill="1" applyBorder="1"/>
    <xf numFmtId="0" fontId="44" fillId="10" borderId="2" xfId="5" applyFont="1" applyFill="1" applyBorder="1" applyAlignment="1">
      <alignment wrapText="1"/>
    </xf>
    <xf numFmtId="1" fontId="42" fillId="4" borderId="2" xfId="5" applyNumberFormat="1" applyFill="1" applyBorder="1"/>
    <xf numFmtId="0" fontId="42" fillId="10" borderId="2" xfId="5" applyFill="1" applyBorder="1"/>
    <xf numFmtId="0" fontId="42" fillId="0" borderId="0" xfId="5"/>
    <xf numFmtId="0" fontId="43" fillId="0" borderId="2" xfId="5" applyFont="1" applyBorder="1" applyAlignment="1">
      <alignment wrapText="1"/>
    </xf>
    <xf numFmtId="0" fontId="1" fillId="0" borderId="2" xfId="5" applyFont="1" applyBorder="1"/>
    <xf numFmtId="0" fontId="42" fillId="0" borderId="2" xfId="5" applyBorder="1"/>
    <xf numFmtId="0" fontId="44" fillId="0" borderId="2" xfId="5" applyFont="1" applyBorder="1" applyAlignment="1">
      <alignment wrapText="1"/>
    </xf>
    <xf numFmtId="0" fontId="44" fillId="5" borderId="2" xfId="5" applyFont="1" applyFill="1" applyBorder="1" applyAlignment="1">
      <alignment wrapText="1"/>
    </xf>
    <xf numFmtId="0" fontId="42" fillId="5" borderId="2" xfId="5" applyFill="1" applyBorder="1"/>
    <xf numFmtId="0" fontId="42" fillId="4" borderId="2" xfId="5" applyFill="1" applyBorder="1"/>
    <xf numFmtId="0" fontId="44" fillId="6" borderId="2" xfId="5" applyFont="1" applyFill="1" applyBorder="1" applyAlignment="1">
      <alignment wrapText="1"/>
    </xf>
    <xf numFmtId="0" fontId="42" fillId="6" borderId="2" xfId="5" applyFill="1" applyBorder="1"/>
    <xf numFmtId="0" fontId="44" fillId="2" borderId="2" xfId="5" applyFont="1" applyFill="1" applyBorder="1" applyAlignment="1">
      <alignment wrapText="1"/>
    </xf>
    <xf numFmtId="0" fontId="42" fillId="2" borderId="2" xfId="5" applyFill="1" applyBorder="1"/>
    <xf numFmtId="0" fontId="42" fillId="7" borderId="2" xfId="5" applyFill="1" applyBorder="1"/>
    <xf numFmtId="0" fontId="44" fillId="7" borderId="2" xfId="5" applyFont="1" applyFill="1" applyBorder="1" applyAlignment="1">
      <alignment wrapText="1"/>
    </xf>
    <xf numFmtId="0" fontId="44" fillId="8" borderId="2" xfId="5" applyFont="1" applyFill="1" applyBorder="1" applyAlignment="1">
      <alignment wrapText="1"/>
    </xf>
    <xf numFmtId="0" fontId="42" fillId="8" borderId="2" xfId="5" applyFill="1" applyBorder="1"/>
    <xf numFmtId="0" fontId="1" fillId="9" borderId="2" xfId="5" applyFont="1" applyFill="1" applyBorder="1"/>
    <xf numFmtId="0" fontId="42" fillId="9" borderId="2" xfId="5" applyFill="1" applyBorder="1"/>
    <xf numFmtId="0" fontId="45" fillId="0" borderId="0" xfId="5" applyFont="1" applyAlignment="1">
      <alignment horizontal="center" wrapText="1"/>
    </xf>
    <xf numFmtId="0" fontId="0" fillId="2" borderId="0" xfId="0" applyFill="1"/>
    <xf numFmtId="1" fontId="4" fillId="2" borderId="2" xfId="0" applyNumberFormat="1" applyFont="1" applyFill="1" applyBorder="1" applyAlignment="1">
      <alignment horizontal="center" vertical="center" wrapText="1"/>
    </xf>
    <xf numFmtId="165" fontId="4" fillId="2" borderId="2" xfId="1" applyNumberFormat="1" applyFont="1" applyFill="1" applyBorder="1"/>
    <xf numFmtId="165" fontId="19" fillId="2" borderId="2" xfId="1" applyNumberFormat="1" applyFont="1" applyFill="1" applyBorder="1"/>
    <xf numFmtId="165" fontId="6" fillId="2" borderId="2" xfId="1" applyNumberFormat="1" applyFont="1" applyFill="1" applyBorder="1" applyAlignment="1">
      <alignment vertical="center" wrapText="1"/>
    </xf>
    <xf numFmtId="165" fontId="19" fillId="2" borderId="1" xfId="1" applyNumberFormat="1" applyFont="1" applyFill="1" applyBorder="1"/>
    <xf numFmtId="165" fontId="27" fillId="2" borderId="23" xfId="1" applyNumberFormat="1" applyFont="1" applyFill="1" applyBorder="1" applyAlignment="1">
      <alignment horizontal="left" vertical="center" wrapText="1"/>
    </xf>
    <xf numFmtId="165" fontId="19" fillId="2" borderId="0" xfId="1" applyNumberFormat="1" applyFont="1" applyFill="1" applyAlignment="1">
      <alignment horizontal="center"/>
    </xf>
    <xf numFmtId="165" fontId="6" fillId="2" borderId="0" xfId="1" applyNumberFormat="1" applyFont="1" applyFill="1" applyAlignment="1">
      <alignment vertical="center" wrapText="1"/>
    </xf>
    <xf numFmtId="165" fontId="30" fillId="2" borderId="0" xfId="0" applyNumberFormat="1" applyFont="1" applyFill="1" applyAlignment="1">
      <alignment horizontal="center" vertical="center" wrapText="1"/>
    </xf>
    <xf numFmtId="165" fontId="28" fillId="2" borderId="0" xfId="1" applyNumberFormat="1" applyFont="1" applyFill="1" applyAlignment="1">
      <alignment horizontal="left" vertical="center" wrapText="1"/>
    </xf>
    <xf numFmtId="165" fontId="6" fillId="2" borderId="0" xfId="1" applyNumberFormat="1" applyFont="1" applyFill="1" applyAlignment="1">
      <alignment horizontal="left" vertical="center" wrapText="1"/>
    </xf>
    <xf numFmtId="164" fontId="0" fillId="2" borderId="0" xfId="0" applyNumberFormat="1" applyFill="1"/>
    <xf numFmtId="0" fontId="4" fillId="2" borderId="2" xfId="0" applyFont="1" applyFill="1" applyBorder="1" applyAlignment="1">
      <alignment horizontal="center" vertical="center" wrapText="1"/>
    </xf>
    <xf numFmtId="3" fontId="33" fillId="0" borderId="2" xfId="0" applyNumberFormat="1" applyFont="1" applyBorder="1"/>
    <xf numFmtId="3" fontId="32" fillId="0" borderId="2" xfId="0" applyNumberFormat="1" applyFont="1" applyBorder="1"/>
    <xf numFmtId="3" fontId="35" fillId="0" borderId="19" xfId="0" applyNumberFormat="1" applyFont="1" applyBorder="1" applyAlignment="1">
      <alignment horizontal="center" vertical="center"/>
    </xf>
    <xf numFmtId="3" fontId="35" fillId="3" borderId="19" xfId="0" applyNumberFormat="1" applyFont="1" applyFill="1" applyBorder="1" applyAlignment="1">
      <alignment horizontal="center" vertical="center"/>
    </xf>
    <xf numFmtId="3" fontId="33" fillId="0" borderId="19" xfId="0" applyNumberFormat="1" applyFont="1" applyBorder="1" applyAlignment="1">
      <alignment horizontal="center"/>
    </xf>
    <xf numFmtId="3" fontId="33" fillId="0" borderId="43" xfId="0" applyNumberFormat="1" applyFont="1" applyBorder="1" applyAlignment="1">
      <alignment horizontal="center"/>
    </xf>
    <xf numFmtId="3" fontId="41" fillId="0" borderId="19" xfId="0" applyNumberFormat="1" applyFont="1" applyBorder="1" applyAlignment="1">
      <alignment horizontal="center" vertical="center"/>
    </xf>
    <xf numFmtId="0" fontId="46" fillId="0" borderId="0" xfId="0" applyFont="1" applyAlignment="1">
      <alignment vertical="center" wrapText="1"/>
    </xf>
    <xf numFmtId="165" fontId="4" fillId="0" borderId="0" xfId="0" applyNumberFormat="1" applyFont="1" applyAlignment="1">
      <alignment vertical="center" wrapText="1"/>
    </xf>
    <xf numFmtId="0" fontId="19" fillId="0" borderId="0" xfId="0" applyFont="1"/>
    <xf numFmtId="0" fontId="19" fillId="0" borderId="0" xfId="0" applyFont="1" applyAlignment="1">
      <alignment vertical="center" wrapText="1"/>
    </xf>
    <xf numFmtId="165" fontId="19" fillId="0" borderId="0" xfId="1" applyNumberFormat="1" applyFont="1" applyAlignment="1">
      <alignment vertical="center" wrapText="1"/>
    </xf>
    <xf numFmtId="165" fontId="27" fillId="0" borderId="0" xfId="1" applyNumberFormat="1" applyFont="1" applyAlignment="1">
      <alignment vertical="center" wrapText="1"/>
    </xf>
    <xf numFmtId="0" fontId="0" fillId="3" borderId="0" xfId="0" applyFill="1"/>
    <xf numFmtId="0" fontId="1" fillId="3" borderId="2" xfId="5" applyFont="1" applyFill="1" applyBorder="1"/>
    <xf numFmtId="0" fontId="0" fillId="3" borderId="2" xfId="0" applyFill="1" applyBorder="1" applyAlignment="1">
      <alignment wrapText="1"/>
    </xf>
    <xf numFmtId="0" fontId="0" fillId="3" borderId="2" xfId="0" applyFill="1" applyBorder="1"/>
    <xf numFmtId="0" fontId="0" fillId="11" borderId="0" xfId="0" applyFill="1"/>
    <xf numFmtId="0" fontId="0" fillId="11" borderId="2" xfId="0" applyFill="1" applyBorder="1"/>
    <xf numFmtId="0" fontId="47" fillId="4" borderId="2" xfId="5" applyFont="1" applyFill="1" applyBorder="1"/>
    <xf numFmtId="0" fontId="47" fillId="7" borderId="2" xfId="5" applyFont="1" applyFill="1" applyBorder="1"/>
    <xf numFmtId="1" fontId="47" fillId="4" borderId="2" xfId="5" applyNumberFormat="1" applyFont="1" applyFill="1" applyBorder="1"/>
    <xf numFmtId="0" fontId="47" fillId="6" borderId="2" xfId="5" applyFont="1" applyFill="1" applyBorder="1"/>
    <xf numFmtId="0" fontId="0" fillId="12" borderId="0" xfId="0" applyFill="1"/>
    <xf numFmtId="0" fontId="0" fillId="11" borderId="4" xfId="0" applyFill="1" applyBorder="1"/>
    <xf numFmtId="0" fontId="0" fillId="12" borderId="53" xfId="0" applyFill="1" applyBorder="1"/>
    <xf numFmtId="0" fontId="0" fillId="12" borderId="2" xfId="0" applyFill="1" applyBorder="1"/>
    <xf numFmtId="0" fontId="0" fillId="12" borderId="2" xfId="0" applyFill="1" applyBorder="1" applyAlignment="1">
      <alignment vertical="top"/>
    </xf>
    <xf numFmtId="0" fontId="0" fillId="12" borderId="2" xfId="0" applyFill="1" applyBorder="1" applyAlignment="1">
      <alignment horizontal="left" vertical="top"/>
    </xf>
    <xf numFmtId="0" fontId="0" fillId="12" borderId="0" xfId="0" applyFill="1" applyAlignment="1">
      <alignment vertical="top"/>
    </xf>
    <xf numFmtId="165" fontId="19" fillId="0" borderId="10" xfId="0" applyNumberFormat="1" applyFont="1" applyBorder="1" applyAlignment="1">
      <alignment vertical="center" wrapText="1"/>
    </xf>
    <xf numFmtId="165" fontId="42" fillId="4" borderId="2" xfId="1" applyNumberFormat="1" applyFont="1" applyFill="1" applyBorder="1"/>
    <xf numFmtId="0" fontId="4" fillId="0" borderId="9" xfId="0" applyFont="1" applyBorder="1" applyAlignment="1">
      <alignment vertical="center" wrapText="1"/>
    </xf>
    <xf numFmtId="0" fontId="6" fillId="0" borderId="19" xfId="0" applyFont="1" applyBorder="1" applyAlignment="1">
      <alignment vertical="center" wrapText="1"/>
    </xf>
    <xf numFmtId="0" fontId="6" fillId="0" borderId="9" xfId="0" applyFont="1" applyBorder="1" applyAlignment="1">
      <alignment vertical="center" wrapText="1"/>
    </xf>
    <xf numFmtId="165" fontId="4" fillId="0" borderId="10" xfId="0" applyNumberFormat="1" applyFont="1" applyBorder="1" applyAlignment="1">
      <alignment vertical="center" wrapText="1"/>
    </xf>
    <xf numFmtId="0" fontId="49" fillId="0" borderId="0" xfId="0" applyFont="1" applyAlignment="1">
      <alignment vertical="center"/>
    </xf>
    <xf numFmtId="0" fontId="4" fillId="0" borderId="8" xfId="0" applyFont="1" applyBorder="1" applyAlignment="1">
      <alignment horizontal="center" vertical="center" wrapText="1"/>
    </xf>
    <xf numFmtId="165" fontId="0" fillId="0" borderId="0" xfId="1" applyNumberFormat="1" applyFont="1"/>
    <xf numFmtId="0" fontId="50" fillId="0" borderId="0" xfId="5" applyFont="1" applyAlignment="1">
      <alignment wrapText="1"/>
    </xf>
    <xf numFmtId="0" fontId="51" fillId="0" borderId="0" xfId="0" applyFont="1"/>
    <xf numFmtId="0" fontId="48" fillId="0" borderId="0" xfId="5" applyFont="1"/>
    <xf numFmtId="165" fontId="48" fillId="0" borderId="0" xfId="1" applyNumberFormat="1" applyFont="1"/>
    <xf numFmtId="165" fontId="4" fillId="0" borderId="31" xfId="0" applyNumberFormat="1" applyFont="1" applyBorder="1" applyAlignment="1">
      <alignment vertical="center" wrapText="1"/>
    </xf>
    <xf numFmtId="0" fontId="4" fillId="0" borderId="48" xfId="0" applyFont="1" applyBorder="1" applyAlignment="1">
      <alignment horizontal="center" vertical="center" wrapText="1"/>
    </xf>
    <xf numFmtId="0" fontId="0" fillId="0" borderId="36" xfId="0" applyBorder="1"/>
    <xf numFmtId="165" fontId="4" fillId="0" borderId="36" xfId="0" applyNumberFormat="1" applyFont="1" applyBorder="1" applyAlignment="1">
      <alignment vertical="center" wrapText="1"/>
    </xf>
    <xf numFmtId="0" fontId="19" fillId="0" borderId="9" xfId="0" applyFont="1" applyBorder="1" applyAlignment="1">
      <alignment vertical="center" wrapText="1"/>
    </xf>
    <xf numFmtId="165" fontId="52" fillId="0" borderId="10" xfId="0" applyNumberFormat="1" applyFont="1" applyBorder="1" applyAlignment="1">
      <alignment vertical="center" wrapText="1"/>
    </xf>
    <xf numFmtId="165" fontId="52" fillId="0" borderId="31" xfId="0" applyNumberFormat="1" applyFont="1" applyBorder="1" applyAlignment="1">
      <alignment vertical="center" wrapText="1"/>
    </xf>
    <xf numFmtId="165" fontId="52" fillId="0" borderId="54" xfId="0" applyNumberFormat="1" applyFont="1" applyBorder="1" applyAlignment="1">
      <alignment vertical="center" wrapText="1"/>
    </xf>
    <xf numFmtId="165" fontId="52" fillId="0" borderId="36" xfId="0" applyNumberFormat="1" applyFont="1" applyBorder="1" applyAlignment="1">
      <alignment vertical="center" wrapText="1"/>
    </xf>
    <xf numFmtId="165" fontId="52" fillId="0" borderId="55" xfId="0" applyNumberFormat="1" applyFont="1" applyBorder="1" applyAlignment="1">
      <alignment vertical="center" wrapText="1"/>
    </xf>
    <xf numFmtId="0" fontId="19" fillId="0" borderId="9" xfId="0" applyFont="1" applyBorder="1" applyAlignment="1">
      <alignment vertical="top" wrapText="1"/>
    </xf>
    <xf numFmtId="0" fontId="19" fillId="0" borderId="9" xfId="0" applyFont="1" applyBorder="1" applyAlignment="1">
      <alignment horizontal="center" vertical="center" wrapText="1"/>
    </xf>
    <xf numFmtId="0" fontId="13" fillId="0" borderId="19" xfId="0" applyFont="1" applyBorder="1" applyAlignment="1">
      <alignment vertical="center" wrapText="1"/>
    </xf>
    <xf numFmtId="0" fontId="13" fillId="0" borderId="8" xfId="0" applyFont="1" applyBorder="1" applyAlignment="1">
      <alignment vertical="center" wrapText="1"/>
    </xf>
    <xf numFmtId="0" fontId="13" fillId="0" borderId="48" xfId="0" applyFont="1" applyBorder="1" applyAlignment="1">
      <alignment vertical="center" wrapText="1"/>
    </xf>
    <xf numFmtId="0" fontId="14" fillId="0" borderId="8" xfId="0" applyFont="1" applyBorder="1" applyAlignment="1">
      <alignment vertical="center" wrapText="1"/>
    </xf>
    <xf numFmtId="0" fontId="13" fillId="0" borderId="9" xfId="0" applyFont="1" applyBorder="1" applyAlignment="1">
      <alignment vertical="center" wrapText="1"/>
    </xf>
    <xf numFmtId="0" fontId="13" fillId="0" borderId="10" xfId="0" applyFont="1" applyBorder="1" applyAlignment="1">
      <alignment vertical="center" wrapText="1"/>
    </xf>
    <xf numFmtId="165" fontId="13" fillId="0" borderId="10" xfId="1" applyNumberFormat="1" applyFont="1" applyBorder="1" applyAlignment="1">
      <alignment vertical="center" wrapText="1"/>
    </xf>
    <xf numFmtId="0" fontId="27" fillId="0" borderId="10" xfId="0" applyFont="1" applyBorder="1" applyAlignment="1">
      <alignment vertical="center" wrapText="1"/>
    </xf>
    <xf numFmtId="0" fontId="19" fillId="0" borderId="10" xfId="0" applyFont="1" applyBorder="1" applyAlignment="1">
      <alignment vertical="top" wrapText="1"/>
    </xf>
    <xf numFmtId="165" fontId="19" fillId="0" borderId="10" xfId="1" applyNumberFormat="1" applyFont="1" applyBorder="1" applyAlignment="1">
      <alignment vertical="top" wrapText="1"/>
    </xf>
    <xf numFmtId="0" fontId="14" fillId="0" borderId="10" xfId="0" applyFont="1" applyBorder="1" applyAlignment="1">
      <alignment vertical="center" wrapText="1"/>
    </xf>
    <xf numFmtId="0" fontId="19" fillId="0" borderId="10" xfId="0" applyFont="1" applyBorder="1" applyAlignment="1">
      <alignment vertical="center" wrapText="1"/>
    </xf>
    <xf numFmtId="165" fontId="19" fillId="0" borderId="10" xfId="1" applyNumberFormat="1" applyFont="1" applyBorder="1" applyAlignment="1">
      <alignment vertical="center" wrapText="1"/>
    </xf>
    <xf numFmtId="165" fontId="13" fillId="0" borderId="10" xfId="0" applyNumberFormat="1" applyFont="1" applyBorder="1" applyAlignment="1">
      <alignment vertical="center" wrapText="1"/>
    </xf>
    <xf numFmtId="164" fontId="13" fillId="0" borderId="10" xfId="0" applyNumberFormat="1" applyFont="1" applyBorder="1" applyAlignment="1">
      <alignment vertical="center" wrapText="1"/>
    </xf>
    <xf numFmtId="165" fontId="19" fillId="0" borderId="10" xfId="0" applyNumberFormat="1" applyFont="1" applyBorder="1" applyAlignment="1">
      <alignment vertical="top" wrapText="1"/>
    </xf>
    <xf numFmtId="0" fontId="4" fillId="0" borderId="10" xfId="0" applyFont="1" applyBorder="1" applyAlignment="1">
      <alignment vertical="top" wrapText="1"/>
    </xf>
    <xf numFmtId="0" fontId="4" fillId="0" borderId="31" xfId="0" applyFont="1" applyBorder="1" applyAlignment="1">
      <alignment vertical="top" wrapText="1"/>
    </xf>
    <xf numFmtId="0" fontId="13" fillId="0" borderId="3" xfId="0" applyFont="1" applyBorder="1" applyAlignment="1">
      <alignment vertical="center" wrapText="1"/>
    </xf>
    <xf numFmtId="165" fontId="19" fillId="0" borderId="9" xfId="1" applyNumberFormat="1" applyFont="1" applyBorder="1" applyAlignment="1">
      <alignment vertical="center" wrapText="1"/>
    </xf>
    <xf numFmtId="0" fontId="14" fillId="0" borderId="32" xfId="0" applyFont="1" applyBorder="1" applyAlignment="1">
      <alignment vertical="center" wrapText="1"/>
    </xf>
    <xf numFmtId="165" fontId="4" fillId="0" borderId="31" xfId="1" applyNumberFormat="1" applyFont="1" applyBorder="1" applyAlignment="1">
      <alignment vertical="top" wrapText="1"/>
    </xf>
    <xf numFmtId="0" fontId="13" fillId="0" borderId="2" xfId="0" applyFont="1" applyBorder="1" applyAlignment="1">
      <alignment vertical="center" wrapText="1"/>
    </xf>
    <xf numFmtId="0" fontId="13" fillId="0" borderId="31" xfId="0" applyFont="1" applyBorder="1" applyAlignment="1">
      <alignment vertical="center" wrapText="1"/>
    </xf>
    <xf numFmtId="165" fontId="27" fillId="0" borderId="9" xfId="1" applyNumberFormat="1" applyFont="1" applyBorder="1" applyAlignment="1">
      <alignment vertical="top" wrapText="1"/>
    </xf>
    <xf numFmtId="165" fontId="27" fillId="0" borderId="10" xfId="1" applyNumberFormat="1" applyFont="1" applyBorder="1" applyAlignment="1">
      <alignment vertical="center" wrapText="1"/>
    </xf>
    <xf numFmtId="165" fontId="27" fillId="0" borderId="10" xfId="1" applyNumberFormat="1" applyFont="1" applyBorder="1" applyAlignment="1">
      <alignment vertical="top" wrapText="1"/>
    </xf>
    <xf numFmtId="0" fontId="27" fillId="0" borderId="31" xfId="0" applyFont="1" applyBorder="1" applyAlignment="1">
      <alignment vertical="center" wrapText="1"/>
    </xf>
    <xf numFmtId="0" fontId="4" fillId="3" borderId="0" xfId="0" applyFont="1" applyFill="1" applyAlignment="1">
      <alignment vertical="center" wrapText="1"/>
    </xf>
    <xf numFmtId="0" fontId="38" fillId="0" borderId="50" xfId="0" applyFont="1" applyBorder="1" applyAlignment="1">
      <alignment horizontal="center" vertical="center" wrapText="1"/>
    </xf>
    <xf numFmtId="0" fontId="38" fillId="0" borderId="31" xfId="0" applyFont="1" applyBorder="1" applyAlignment="1">
      <alignment horizontal="center" vertical="center" wrapText="1"/>
    </xf>
    <xf numFmtId="0" fontId="32" fillId="0" borderId="46" xfId="0" applyFont="1" applyBorder="1" applyAlignment="1">
      <alignment horizontal="center" wrapText="1"/>
    </xf>
    <xf numFmtId="0" fontId="32" fillId="0" borderId="29" xfId="0" applyFont="1" applyBorder="1" applyAlignment="1">
      <alignment horizontal="center" wrapText="1"/>
    </xf>
    <xf numFmtId="0" fontId="32" fillId="0" borderId="30" xfId="0" applyFont="1" applyBorder="1" applyAlignment="1">
      <alignment horizontal="center" wrapText="1"/>
    </xf>
    <xf numFmtId="0" fontId="14" fillId="0" borderId="51" xfId="0" applyFont="1" applyBorder="1" applyAlignment="1">
      <alignment horizontal="left" vertical="center" wrapText="1"/>
    </xf>
    <xf numFmtId="0" fontId="14" fillId="0" borderId="52" xfId="0" applyFont="1" applyBorder="1" applyAlignment="1">
      <alignment horizontal="left" vertical="center" wrapText="1"/>
    </xf>
    <xf numFmtId="0" fontId="14" fillId="0" borderId="8" xfId="0" applyFont="1" applyBorder="1" applyAlignment="1">
      <alignment horizontal="left" vertical="center" wrapText="1"/>
    </xf>
    <xf numFmtId="0" fontId="14" fillId="0" borderId="51" xfId="0" applyFont="1" applyBorder="1" applyAlignment="1">
      <alignment vertical="center" wrapText="1"/>
    </xf>
    <xf numFmtId="0" fontId="14" fillId="0" borderId="52" xfId="0" applyFont="1" applyBorder="1" applyAlignment="1">
      <alignment vertical="center" wrapText="1"/>
    </xf>
    <xf numFmtId="0" fontId="14" fillId="0" borderId="8" xfId="0" applyFont="1" applyBorder="1" applyAlignment="1">
      <alignment vertical="center" wrapText="1"/>
    </xf>
    <xf numFmtId="0" fontId="27" fillId="0" borderId="51" xfId="0" applyFont="1" applyBorder="1" applyAlignment="1">
      <alignment vertical="center" wrapText="1"/>
    </xf>
    <xf numFmtId="0" fontId="27" fillId="0" borderId="8" xfId="0" applyFont="1" applyBorder="1" applyAlignment="1">
      <alignment vertical="center" wrapText="1"/>
    </xf>
    <xf numFmtId="0" fontId="1" fillId="0" borderId="4" xfId="5" applyFont="1" applyBorder="1" applyAlignment="1">
      <alignment horizontal="center"/>
    </xf>
    <xf numFmtId="0" fontId="1" fillId="0" borderId="5" xfId="5" applyFont="1" applyBorder="1" applyAlignment="1">
      <alignment horizontal="center"/>
    </xf>
    <xf numFmtId="0" fontId="1" fillId="0" borderId="6" xfId="5" applyFont="1" applyBorder="1" applyAlignment="1">
      <alignment horizontal="center"/>
    </xf>
    <xf numFmtId="0" fontId="45" fillId="0" borderId="0" xfId="5" applyFont="1" applyAlignment="1">
      <alignment horizontal="center" wrapText="1"/>
    </xf>
    <xf numFmtId="165" fontId="6" fillId="0" borderId="4" xfId="1" applyNumberFormat="1" applyFont="1" applyBorder="1" applyAlignment="1">
      <alignment horizontal="left" vertical="center" wrapText="1"/>
    </xf>
    <xf numFmtId="165" fontId="6" fillId="0" borderId="5" xfId="1" applyNumberFormat="1" applyFont="1" applyBorder="1" applyAlignment="1">
      <alignment horizontal="left" vertical="center" wrapText="1"/>
    </xf>
    <xf numFmtId="165" fontId="6" fillId="0" borderId="6" xfId="1" applyNumberFormat="1" applyFont="1" applyBorder="1" applyAlignment="1">
      <alignment horizontal="left" vertical="center" wrapText="1"/>
    </xf>
    <xf numFmtId="0" fontId="6" fillId="0" borderId="29" xfId="0" applyFont="1" applyBorder="1" applyAlignment="1">
      <alignment horizontal="left" vertical="center" wrapText="1"/>
    </xf>
    <xf numFmtId="0" fontId="6" fillId="0" borderId="30" xfId="0" applyFont="1" applyBorder="1" applyAlignment="1">
      <alignment horizontal="left" vertical="center" wrapText="1"/>
    </xf>
    <xf numFmtId="165" fontId="6" fillId="0" borderId="0" xfId="1" applyNumberFormat="1" applyFont="1" applyAlignment="1">
      <alignment horizontal="left" vertical="center" wrapText="1"/>
    </xf>
    <xf numFmtId="0" fontId="4" fillId="0" borderId="25" xfId="0" applyFont="1" applyBorder="1" applyAlignment="1">
      <alignment horizontal="center" vertical="top"/>
    </xf>
    <xf numFmtId="0" fontId="4" fillId="0" borderId="26" xfId="0" applyFont="1" applyBorder="1" applyAlignment="1">
      <alignment horizontal="center" vertical="top"/>
    </xf>
    <xf numFmtId="0" fontId="4" fillId="0" borderId="18" xfId="0" applyFont="1" applyBorder="1" applyAlignment="1">
      <alignment horizontal="center" vertical="top"/>
    </xf>
    <xf numFmtId="0" fontId="4" fillId="0" borderId="0" xfId="0" applyFont="1" applyAlignment="1">
      <alignment horizontal="center" vertical="top"/>
    </xf>
    <xf numFmtId="0" fontId="6" fillId="0" borderId="0" xfId="0" applyFont="1" applyAlignment="1">
      <alignment horizontal="left"/>
    </xf>
    <xf numFmtId="0" fontId="4" fillId="0" borderId="0" xfId="0" applyFont="1" applyAlignment="1">
      <alignment horizontal="left"/>
    </xf>
    <xf numFmtId="0" fontId="22" fillId="0" borderId="0" xfId="0" applyFont="1" applyAlignment="1">
      <alignment horizontal="center" vertical="center" wrapText="1"/>
    </xf>
    <xf numFmtId="0" fontId="20" fillId="0" borderId="4" xfId="0" applyFont="1" applyBorder="1" applyAlignment="1">
      <alignment horizontal="left" vertical="center" wrapText="1"/>
    </xf>
    <xf numFmtId="0" fontId="20" fillId="0" borderId="5" xfId="0" applyFont="1" applyBorder="1" applyAlignment="1">
      <alignment horizontal="left" vertical="center" wrapText="1"/>
    </xf>
    <xf numFmtId="0" fontId="20" fillId="0" borderId="6" xfId="0" applyFont="1" applyBorder="1" applyAlignment="1">
      <alignment horizontal="left" vertical="center" wrapText="1"/>
    </xf>
    <xf numFmtId="0" fontId="20" fillId="0" borderId="40" xfId="0" applyFont="1" applyBorder="1" applyAlignment="1">
      <alignment horizontal="left" vertical="center" wrapText="1"/>
    </xf>
    <xf numFmtId="0" fontId="20" fillId="0" borderId="7" xfId="0" applyFont="1" applyBorder="1" applyAlignment="1">
      <alignment horizontal="left" vertical="center" wrapText="1"/>
    </xf>
    <xf numFmtId="0" fontId="20" fillId="0" borderId="27" xfId="0" applyFont="1" applyBorder="1" applyAlignment="1">
      <alignment horizontal="left" vertical="center" wrapText="1"/>
    </xf>
    <xf numFmtId="0" fontId="6" fillId="0" borderId="0" xfId="0" applyFont="1" applyAlignment="1">
      <alignment horizontal="center" vertical="center"/>
    </xf>
    <xf numFmtId="0" fontId="4" fillId="0" borderId="0" xfId="0" applyFont="1" applyAlignment="1">
      <alignment horizontal="center" vertical="center" wrapText="1"/>
    </xf>
    <xf numFmtId="165" fontId="6" fillId="0" borderId="0" xfId="1" applyNumberFormat="1" applyFont="1" applyAlignment="1">
      <alignment horizontal="center" vertical="center" wrapText="1"/>
    </xf>
    <xf numFmtId="0" fontId="3" fillId="0" borderId="0" xfId="0" applyFont="1" applyAlignment="1">
      <alignment horizontal="center" vertical="center" wrapText="1"/>
    </xf>
    <xf numFmtId="0" fontId="3" fillId="0" borderId="1" xfId="0" applyFont="1" applyBorder="1" applyAlignment="1">
      <alignment horizontal="center" vertical="center"/>
    </xf>
    <xf numFmtId="0" fontId="3" fillId="0" borderId="3" xfId="0" applyFont="1" applyBorder="1" applyAlignment="1">
      <alignment horizontal="center" vertical="center"/>
    </xf>
    <xf numFmtId="0" fontId="3" fillId="0" borderId="48" xfId="0" applyFont="1" applyBorder="1" applyAlignment="1">
      <alignment horizontal="center" vertical="center"/>
    </xf>
    <xf numFmtId="0" fontId="3" fillId="0" borderId="49" xfId="0" applyFont="1" applyBorder="1" applyAlignment="1">
      <alignment horizontal="center" vertical="center"/>
    </xf>
    <xf numFmtId="165" fontId="4" fillId="0" borderId="0" xfId="1" applyNumberFormat="1" applyFont="1" applyAlignment="1">
      <alignment horizontal="left" vertical="center" wrapText="1"/>
    </xf>
    <xf numFmtId="0" fontId="20" fillId="0" borderId="0" xfId="0" applyFont="1" applyAlignment="1">
      <alignment horizontal="left" vertical="center"/>
    </xf>
    <xf numFmtId="0" fontId="20" fillId="0" borderId="31" xfId="0" applyFont="1" applyBorder="1" applyAlignment="1">
      <alignment horizontal="left" vertical="center"/>
    </xf>
    <xf numFmtId="0" fontId="3" fillId="0" borderId="39" xfId="0" applyFont="1" applyBorder="1" applyAlignment="1">
      <alignment horizontal="center" vertical="center" wrapText="1"/>
    </xf>
    <xf numFmtId="0" fontId="3" fillId="0" borderId="47" xfId="0" applyFont="1" applyBorder="1" applyAlignment="1">
      <alignment horizontal="center" vertical="center" wrapText="1"/>
    </xf>
    <xf numFmtId="0" fontId="3" fillId="0" borderId="33" xfId="0" applyFont="1" applyBorder="1" applyAlignment="1">
      <alignment horizontal="center" vertical="center" wrapText="1"/>
    </xf>
    <xf numFmtId="0" fontId="3" fillId="0" borderId="11" xfId="0" applyFont="1" applyBorder="1" applyAlignment="1">
      <alignment horizontal="center" vertical="center" wrapText="1"/>
    </xf>
    <xf numFmtId="0" fontId="3" fillId="0" borderId="12" xfId="0" applyFont="1" applyBorder="1" applyAlignment="1">
      <alignment horizontal="center" vertical="center" wrapText="1"/>
    </xf>
    <xf numFmtId="0" fontId="3" fillId="0" borderId="14" xfId="0" applyFont="1" applyBorder="1" applyAlignment="1">
      <alignment horizontal="center" vertical="center" wrapText="1"/>
    </xf>
    <xf numFmtId="0" fontId="3" fillId="0" borderId="2" xfId="0" applyFont="1" applyBorder="1" applyAlignment="1">
      <alignment horizontal="center" vertical="center" wrapText="1"/>
    </xf>
    <xf numFmtId="0" fontId="3" fillId="0" borderId="13" xfId="0" applyFont="1" applyBorder="1" applyAlignment="1">
      <alignment horizontal="center" vertical="center" wrapText="1"/>
    </xf>
    <xf numFmtId="0" fontId="3" fillId="0" borderId="34" xfId="0" applyFont="1" applyBorder="1" applyAlignment="1">
      <alignment horizontal="center" vertical="center" wrapText="1"/>
    </xf>
    <xf numFmtId="0" fontId="3" fillId="0" borderId="37" xfId="0" applyFont="1" applyBorder="1" applyAlignment="1">
      <alignment horizontal="center" vertical="center" wrapText="1"/>
    </xf>
    <xf numFmtId="0" fontId="3" fillId="0" borderId="38" xfId="0" applyFont="1" applyBorder="1" applyAlignment="1">
      <alignment horizontal="center" vertical="center" wrapText="1"/>
    </xf>
    <xf numFmtId="0" fontId="4" fillId="0" borderId="2" xfId="0" applyFont="1" applyBorder="1" applyAlignment="1">
      <alignment horizontal="center" vertical="center" wrapText="1"/>
    </xf>
    <xf numFmtId="0" fontId="4" fillId="2" borderId="2" xfId="0" applyFont="1" applyFill="1" applyBorder="1" applyAlignment="1">
      <alignment horizontal="center" vertical="center" wrapText="1"/>
    </xf>
    <xf numFmtId="165" fontId="26" fillId="0" borderId="0" xfId="1" applyNumberFormat="1" applyFont="1" applyAlignment="1">
      <alignment horizontal="left" vertical="center" wrapText="1"/>
    </xf>
    <xf numFmtId="165" fontId="6" fillId="0" borderId="4" xfId="1" applyNumberFormat="1" applyFont="1" applyBorder="1" applyAlignment="1">
      <alignment horizontal="center" vertical="center" wrapText="1"/>
    </xf>
    <xf numFmtId="165" fontId="6" fillId="0" borderId="6" xfId="1" applyNumberFormat="1" applyFont="1" applyBorder="1" applyAlignment="1">
      <alignment horizontal="center" vertical="center" wrapText="1"/>
    </xf>
    <xf numFmtId="165" fontId="6" fillId="0" borderId="21" xfId="1" applyNumberFormat="1" applyFont="1" applyBorder="1" applyAlignment="1">
      <alignment horizontal="center" vertical="center" wrapText="1"/>
    </xf>
    <xf numFmtId="165" fontId="6" fillId="0" borderId="23" xfId="1" applyNumberFormat="1" applyFont="1" applyBorder="1" applyAlignment="1">
      <alignment horizontal="center" vertical="center" wrapText="1"/>
    </xf>
    <xf numFmtId="0" fontId="22" fillId="0" borderId="2" xfId="0" applyFont="1" applyBorder="1" applyAlignment="1">
      <alignment horizontal="center" vertical="center" wrapText="1"/>
    </xf>
    <xf numFmtId="0" fontId="4" fillId="0" borderId="37" xfId="0" applyFont="1" applyBorder="1" applyAlignment="1">
      <alignment horizontal="center" vertical="center" wrapText="1"/>
    </xf>
    <xf numFmtId="0" fontId="4" fillId="0" borderId="41" xfId="0" applyFont="1" applyBorder="1" applyAlignment="1">
      <alignment horizontal="center" vertical="center" wrapText="1"/>
    </xf>
    <xf numFmtId="0" fontId="4" fillId="0" borderId="20" xfId="0" applyFont="1" applyBorder="1" applyAlignment="1">
      <alignment horizontal="center" vertical="center" wrapText="1"/>
    </xf>
    <xf numFmtId="0" fontId="4" fillId="0" borderId="42" xfId="0" applyFont="1" applyBorder="1" applyAlignment="1">
      <alignment horizontal="center"/>
    </xf>
    <xf numFmtId="0" fontId="4" fillId="0" borderId="27" xfId="0" applyFont="1" applyBorder="1" applyAlignment="1">
      <alignment horizontal="center"/>
    </xf>
  </cellXfs>
  <cellStyles count="6">
    <cellStyle name="Hipervínculo" xfId="3" builtinId="8"/>
    <cellStyle name="Millares" xfId="1" builtinId="3"/>
    <cellStyle name="Normal" xfId="0" builtinId="0"/>
    <cellStyle name="Normal 2" xfId="4" xr:uid="{00000000-0005-0000-0000-000003000000}"/>
    <cellStyle name="Normal 3" xfId="5" xr:uid="{00000000-0005-0000-0000-000004000000}"/>
    <cellStyle name="Porcentaje" xfId="2" builtinId="5"/>
  </cellStyles>
  <dxfs count="0"/>
  <tableStyles count="0" defaultTableStyle="TableStyleMedium2" defaultPivotStyle="PivotStyleLight16"/>
  <colors>
    <mruColors>
      <color rgb="FF66FF99"/>
      <color rgb="FF9AEAFA"/>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
          <c:y val="0.15316163604549432"/>
          <c:w val="0.93888888888888888"/>
          <c:h val="0.7866531787693205"/>
        </c:manualLayout>
      </c:layout>
      <c:barChart>
        <c:barDir val="col"/>
        <c:grouping val="clustered"/>
        <c:varyColors val="0"/>
        <c:ser>
          <c:idx val="0"/>
          <c:order val="0"/>
          <c:tx>
            <c:strRef>
              <c:f>'SCV - diasp'!$G$21</c:f>
              <c:strCache>
                <c:ptCount val="1"/>
                <c:pt idx="0">
                  <c:v>Venituri Totale</c:v>
                </c:pt>
              </c:strCache>
            </c:strRef>
          </c:tx>
          <c:invertIfNegative val="0"/>
          <c:dLbls>
            <c:spPr>
              <a:noFill/>
              <a:ln>
                <a:noFill/>
              </a:ln>
              <a:effectLst/>
            </c:sp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'SCV - diasp'!$H$20:$J$20</c:f>
              <c:strCache>
                <c:ptCount val="3"/>
                <c:pt idx="0">
                  <c:v>An 2019</c:v>
                </c:pt>
                <c:pt idx="1">
                  <c:v>An 2020</c:v>
                </c:pt>
                <c:pt idx="2">
                  <c:v>An 2021</c:v>
                </c:pt>
              </c:strCache>
            </c:strRef>
          </c:cat>
          <c:val>
            <c:numRef>
              <c:f>'SCV - diasp'!$H$21:$J$21</c:f>
              <c:numCache>
                <c:formatCode>#,##0</c:formatCode>
                <c:ptCount val="3"/>
                <c:pt idx="0">
                  <c:v>210000</c:v>
                </c:pt>
                <c:pt idx="1">
                  <c:v>302000</c:v>
                </c:pt>
                <c:pt idx="2">
                  <c:v>376000</c:v>
                </c:pt>
              </c:numCache>
            </c:numRef>
          </c:val>
          <c:extLst>
            <c:ext xmlns:c16="http://schemas.microsoft.com/office/drawing/2014/chart" uri="{C3380CC4-5D6E-409C-BE32-E72D297353CC}">
              <c16:uniqueId val="{00000000-9C52-47EE-A35F-6DB5D799FE64}"/>
            </c:ext>
          </c:extLst>
        </c:ser>
        <c:ser>
          <c:idx val="1"/>
          <c:order val="1"/>
          <c:tx>
            <c:strRef>
              <c:f>'SCV - diasp'!$G$22</c:f>
              <c:strCache>
                <c:ptCount val="1"/>
                <c:pt idx="0">
                  <c:v>Cheltuieli Totale</c:v>
                </c:pt>
              </c:strCache>
            </c:strRef>
          </c:tx>
          <c:invertIfNegative val="0"/>
          <c:dLbls>
            <c:spPr>
              <a:noFill/>
              <a:ln>
                <a:noFill/>
              </a:ln>
              <a:effectLst/>
            </c:sp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'SCV - diasp'!$H$20:$J$20</c:f>
              <c:strCache>
                <c:ptCount val="3"/>
                <c:pt idx="0">
                  <c:v>An 2019</c:v>
                </c:pt>
                <c:pt idx="1">
                  <c:v>An 2020</c:v>
                </c:pt>
                <c:pt idx="2">
                  <c:v>An 2021</c:v>
                </c:pt>
              </c:strCache>
            </c:strRef>
          </c:cat>
          <c:val>
            <c:numRef>
              <c:f>'SCV - diasp'!$H$22:$J$22</c:f>
              <c:numCache>
                <c:formatCode>#,##0</c:formatCode>
                <c:ptCount val="3"/>
                <c:pt idx="0">
                  <c:v>230848.96555555554</c:v>
                </c:pt>
                <c:pt idx="1">
                  <c:v>274111.21333333332</c:v>
                </c:pt>
                <c:pt idx="2">
                  <c:v>294051.21333333332</c:v>
                </c:pt>
              </c:numCache>
            </c:numRef>
          </c:val>
          <c:extLst>
            <c:ext xmlns:c16="http://schemas.microsoft.com/office/drawing/2014/chart" uri="{C3380CC4-5D6E-409C-BE32-E72D297353CC}">
              <c16:uniqueId val="{00000001-9C52-47EE-A35F-6DB5D799FE64}"/>
            </c:ext>
          </c:extLst>
        </c:ser>
        <c:ser>
          <c:idx val="2"/>
          <c:order val="2"/>
          <c:tx>
            <c:strRef>
              <c:f>'SCV - diasp'!$G$23</c:f>
              <c:strCache>
                <c:ptCount val="1"/>
                <c:pt idx="0">
                  <c:v>Profit/Pierdere</c:v>
                </c:pt>
              </c:strCache>
            </c:strRef>
          </c:tx>
          <c:invertIfNegative val="0"/>
          <c:dLbls>
            <c:spPr>
              <a:noFill/>
              <a:ln>
                <a:noFill/>
              </a:ln>
              <a:effectLst/>
            </c:sp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'SCV - diasp'!$H$20:$J$20</c:f>
              <c:strCache>
                <c:ptCount val="3"/>
                <c:pt idx="0">
                  <c:v>An 2019</c:v>
                </c:pt>
                <c:pt idx="1">
                  <c:v>An 2020</c:v>
                </c:pt>
                <c:pt idx="2">
                  <c:v>An 2021</c:v>
                </c:pt>
              </c:strCache>
            </c:strRef>
          </c:cat>
          <c:val>
            <c:numRef>
              <c:f>'SCV - diasp'!$H$23:$J$23</c:f>
              <c:numCache>
                <c:formatCode>#,##0</c:formatCode>
                <c:ptCount val="3"/>
                <c:pt idx="0">
                  <c:v>-20848.965555555536</c:v>
                </c:pt>
                <c:pt idx="1">
                  <c:v>27888.786666666681</c:v>
                </c:pt>
                <c:pt idx="2">
                  <c:v>81948.786666666681</c:v>
                </c:pt>
              </c:numCache>
            </c:numRef>
          </c:val>
          <c:extLst>
            <c:ext xmlns:c16="http://schemas.microsoft.com/office/drawing/2014/chart" uri="{C3380CC4-5D6E-409C-BE32-E72D297353CC}">
              <c16:uniqueId val="{00000002-9C52-47EE-A35F-6DB5D799FE64}"/>
            </c:ext>
          </c:extLst>
        </c:ser>
        <c:dLbls>
          <c:showLegendKey val="0"/>
          <c:showVal val="1"/>
          <c:showCatName val="0"/>
          <c:showSerName val="0"/>
          <c:showPercent val="0"/>
          <c:showBubbleSize val="0"/>
        </c:dLbls>
        <c:gapWidth val="150"/>
        <c:overlap val="-25"/>
        <c:axId val="141879936"/>
        <c:axId val="145564032"/>
      </c:barChart>
      <c:catAx>
        <c:axId val="141879936"/>
        <c:scaling>
          <c:orientation val="minMax"/>
        </c:scaling>
        <c:delete val="0"/>
        <c:axPos val="b"/>
        <c:numFmt formatCode="General" sourceLinked="0"/>
        <c:majorTickMark val="none"/>
        <c:minorTickMark val="none"/>
        <c:tickLblPos val="nextTo"/>
        <c:crossAx val="145564032"/>
        <c:crosses val="autoZero"/>
        <c:auto val="1"/>
        <c:lblAlgn val="ctr"/>
        <c:lblOffset val="100"/>
        <c:noMultiLvlLbl val="0"/>
      </c:catAx>
      <c:valAx>
        <c:axId val="145564032"/>
        <c:scaling>
          <c:orientation val="minMax"/>
        </c:scaling>
        <c:delete val="1"/>
        <c:axPos val="l"/>
        <c:numFmt formatCode="#,##0" sourceLinked="1"/>
        <c:majorTickMark val="out"/>
        <c:minorTickMark val="none"/>
        <c:tickLblPos val="nextTo"/>
        <c:crossAx val="141879936"/>
        <c:crosses val="autoZero"/>
        <c:crossBetween val="between"/>
      </c:valAx>
    </c:plotArea>
    <c:legend>
      <c:legendPos val="t"/>
      <c:overlay val="0"/>
    </c:legend>
    <c:plotVisOnly val="1"/>
    <c:dispBlanksAs val="gap"/>
    <c:showDLblsOverMax val="0"/>
  </c:chart>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title>
    <c:autoTitleDeleted val="0"/>
    <c:plotArea>
      <c:layout/>
      <c:lineChart>
        <c:grouping val="standard"/>
        <c:varyColors val="0"/>
        <c:ser>
          <c:idx val="0"/>
          <c:order val="0"/>
          <c:tx>
            <c:strRef>
              <c:f>'SCV - diasp'!$G$26</c:f>
              <c:strCache>
                <c:ptCount val="1"/>
                <c:pt idx="0">
                  <c:v>marja de profit</c:v>
                </c:pt>
              </c:strCache>
            </c:strRef>
          </c:tx>
          <c:dLbls>
            <c:spPr>
              <a:noFill/>
              <a:ln>
                <a:noFill/>
              </a:ln>
              <a:effectLst/>
            </c:sp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'SCV - diasp'!$H$25:$J$25</c:f>
              <c:strCache>
                <c:ptCount val="3"/>
                <c:pt idx="0">
                  <c:v>An 2018</c:v>
                </c:pt>
                <c:pt idx="1">
                  <c:v>An 2019</c:v>
                </c:pt>
                <c:pt idx="2">
                  <c:v>An 2020</c:v>
                </c:pt>
              </c:strCache>
            </c:strRef>
          </c:cat>
          <c:val>
            <c:numRef>
              <c:f>'SCV - diasp'!$H$26:$J$26</c:f>
              <c:numCache>
                <c:formatCode>0%</c:formatCode>
                <c:ptCount val="3"/>
                <c:pt idx="0">
                  <c:v>-9.9280788359788263E-2</c:v>
                </c:pt>
                <c:pt idx="1">
                  <c:v>9.2346975717439342E-2</c:v>
                </c:pt>
                <c:pt idx="2">
                  <c:v>0.21794890070921991</c:v>
                </c:pt>
              </c:numCache>
            </c:numRef>
          </c:val>
          <c:smooth val="0"/>
          <c:extLst>
            <c:ext xmlns:c16="http://schemas.microsoft.com/office/drawing/2014/chart" uri="{C3380CC4-5D6E-409C-BE32-E72D297353CC}">
              <c16:uniqueId val="{00000000-2669-4F31-968F-A089A0E9C49A}"/>
            </c:ext>
          </c:extLst>
        </c:ser>
        <c:dLbls>
          <c:showLegendKey val="0"/>
          <c:showVal val="1"/>
          <c:showCatName val="0"/>
          <c:showSerName val="0"/>
          <c:showPercent val="0"/>
          <c:showBubbleSize val="0"/>
        </c:dLbls>
        <c:marker val="1"/>
        <c:smooth val="0"/>
        <c:axId val="145575296"/>
        <c:axId val="145578240"/>
      </c:lineChart>
      <c:catAx>
        <c:axId val="145575296"/>
        <c:scaling>
          <c:orientation val="minMax"/>
        </c:scaling>
        <c:delete val="0"/>
        <c:axPos val="b"/>
        <c:numFmt formatCode="General" sourceLinked="0"/>
        <c:majorTickMark val="none"/>
        <c:minorTickMark val="none"/>
        <c:tickLblPos val="nextTo"/>
        <c:crossAx val="145578240"/>
        <c:crosses val="autoZero"/>
        <c:auto val="1"/>
        <c:lblAlgn val="ctr"/>
        <c:lblOffset val="100"/>
        <c:noMultiLvlLbl val="0"/>
      </c:catAx>
      <c:valAx>
        <c:axId val="145578240"/>
        <c:scaling>
          <c:orientation val="minMax"/>
        </c:scaling>
        <c:delete val="1"/>
        <c:axPos val="l"/>
        <c:numFmt formatCode="0%" sourceLinked="1"/>
        <c:majorTickMark val="out"/>
        <c:minorTickMark val="none"/>
        <c:tickLblPos val="nextTo"/>
        <c:crossAx val="145575296"/>
        <c:crosses val="autoZero"/>
        <c:crossBetween val="between"/>
      </c:valAx>
    </c:plotArea>
    <c:plotVisOnly val="1"/>
    <c:dispBlanksAs val="gap"/>
    <c:showDLblsOverMax val="0"/>
  </c:chart>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en-US"/>
              <a:t>Venituri</a:t>
            </a:r>
          </a:p>
        </c:rich>
      </c:tx>
      <c:overlay val="0"/>
    </c:title>
    <c:autoTitleDeleted val="0"/>
    <c:plotArea>
      <c:layout/>
      <c:barChart>
        <c:barDir val="col"/>
        <c:grouping val="clustered"/>
        <c:varyColors val="0"/>
        <c:ser>
          <c:idx val="0"/>
          <c:order val="0"/>
          <c:tx>
            <c:strRef>
              <c:f>venituri!$V$6</c:f>
              <c:strCache>
                <c:ptCount val="1"/>
                <c:pt idx="0">
                  <c:v>amenajari peisagistice  de complexitate mica</c:v>
                </c:pt>
              </c:strCache>
            </c:strRef>
          </c:tx>
          <c:invertIfNegative val="0"/>
          <c:cat>
            <c:strRef>
              <c:f>venituri!$W$5:$AB$5</c:f>
              <c:strCache>
                <c:ptCount val="6"/>
                <c:pt idx="0">
                  <c:v>A1 tr1</c:v>
                </c:pt>
                <c:pt idx="1">
                  <c:v>A1 tr2</c:v>
                </c:pt>
                <c:pt idx="2">
                  <c:v>A1 tr3</c:v>
                </c:pt>
                <c:pt idx="3">
                  <c:v>A1 tr4</c:v>
                </c:pt>
                <c:pt idx="4">
                  <c:v>An 2</c:v>
                </c:pt>
                <c:pt idx="5">
                  <c:v>An 3</c:v>
                </c:pt>
              </c:strCache>
            </c:strRef>
          </c:cat>
          <c:val>
            <c:numRef>
              <c:f>venituri!$W$6:$AB$6</c:f>
              <c:numCache>
                <c:formatCode>_(* #,##0_);_(* \(#,##0\);_(* "-"??_);_(@_)</c:formatCode>
                <c:ptCount val="6"/>
                <c:pt idx="0">
                  <c:v>0</c:v>
                </c:pt>
                <c:pt idx="1">
                  <c:v>12000</c:v>
                </c:pt>
                <c:pt idx="2">
                  <c:v>16000</c:v>
                </c:pt>
                <c:pt idx="3">
                  <c:v>12000</c:v>
                </c:pt>
                <c:pt idx="4">
                  <c:v>40000</c:v>
                </c:pt>
                <c:pt idx="5">
                  <c:v>48000</c:v>
                </c:pt>
              </c:numCache>
            </c:numRef>
          </c:val>
          <c:extLst>
            <c:ext xmlns:c16="http://schemas.microsoft.com/office/drawing/2014/chart" uri="{C3380CC4-5D6E-409C-BE32-E72D297353CC}">
              <c16:uniqueId val="{00000000-45A1-4F01-8A7C-C388B6180872}"/>
            </c:ext>
          </c:extLst>
        </c:ser>
        <c:ser>
          <c:idx val="1"/>
          <c:order val="1"/>
          <c:tx>
            <c:strRef>
              <c:f>venituri!$V$7</c:f>
              <c:strCache>
                <c:ptCount val="1"/>
                <c:pt idx="0">
                  <c:v>amenajari peisagistice  de complexitate medie</c:v>
                </c:pt>
              </c:strCache>
            </c:strRef>
          </c:tx>
          <c:invertIfNegative val="0"/>
          <c:cat>
            <c:strRef>
              <c:f>venituri!$W$5:$AB$5</c:f>
              <c:strCache>
                <c:ptCount val="6"/>
                <c:pt idx="0">
                  <c:v>A1 tr1</c:v>
                </c:pt>
                <c:pt idx="1">
                  <c:v>A1 tr2</c:v>
                </c:pt>
                <c:pt idx="2">
                  <c:v>A1 tr3</c:v>
                </c:pt>
                <c:pt idx="3">
                  <c:v>A1 tr4</c:v>
                </c:pt>
                <c:pt idx="4">
                  <c:v>An 2</c:v>
                </c:pt>
                <c:pt idx="5">
                  <c:v>An 3</c:v>
                </c:pt>
              </c:strCache>
            </c:strRef>
          </c:cat>
          <c:val>
            <c:numRef>
              <c:f>venituri!$W$7:$AB$7</c:f>
              <c:numCache>
                <c:formatCode>_(* #,##0_);_(* \(#,##0\);_(* "-"??_);_(@_)</c:formatCode>
                <c:ptCount val="6"/>
                <c:pt idx="0">
                  <c:v>0</c:v>
                </c:pt>
                <c:pt idx="1">
                  <c:v>24000</c:v>
                </c:pt>
                <c:pt idx="2">
                  <c:v>24000</c:v>
                </c:pt>
                <c:pt idx="3">
                  <c:v>12000</c:v>
                </c:pt>
                <c:pt idx="4">
                  <c:v>60000</c:v>
                </c:pt>
                <c:pt idx="5">
                  <c:v>144000</c:v>
                </c:pt>
              </c:numCache>
            </c:numRef>
          </c:val>
          <c:extLst>
            <c:ext xmlns:c16="http://schemas.microsoft.com/office/drawing/2014/chart" uri="{C3380CC4-5D6E-409C-BE32-E72D297353CC}">
              <c16:uniqueId val="{00000001-45A1-4F01-8A7C-C388B6180872}"/>
            </c:ext>
          </c:extLst>
        </c:ser>
        <c:ser>
          <c:idx val="2"/>
          <c:order val="2"/>
          <c:tx>
            <c:strRef>
              <c:f>venituri!$V$8</c:f>
              <c:strCache>
                <c:ptCount val="1"/>
                <c:pt idx="0">
                  <c:v>amenajari peisagistice  de complexitate mare</c:v>
                </c:pt>
              </c:strCache>
            </c:strRef>
          </c:tx>
          <c:invertIfNegative val="0"/>
          <c:cat>
            <c:strRef>
              <c:f>venituri!$W$5:$AB$5</c:f>
              <c:strCache>
                <c:ptCount val="6"/>
                <c:pt idx="0">
                  <c:v>A1 tr1</c:v>
                </c:pt>
                <c:pt idx="1">
                  <c:v>A1 tr2</c:v>
                </c:pt>
                <c:pt idx="2">
                  <c:v>A1 tr3</c:v>
                </c:pt>
                <c:pt idx="3">
                  <c:v>A1 tr4</c:v>
                </c:pt>
                <c:pt idx="4">
                  <c:v>An 2</c:v>
                </c:pt>
                <c:pt idx="5">
                  <c:v>An 3</c:v>
                </c:pt>
              </c:strCache>
            </c:strRef>
          </c:cat>
          <c:val>
            <c:numRef>
              <c:f>venituri!$W$8:$AB$8</c:f>
              <c:numCache>
                <c:formatCode>_(* #,##0_);_(* \(#,##0\);_(* "-"??_);_(@_)</c:formatCode>
                <c:ptCount val="6"/>
                <c:pt idx="0">
                  <c:v>0</c:v>
                </c:pt>
                <c:pt idx="1">
                  <c:v>20000</c:v>
                </c:pt>
                <c:pt idx="2">
                  <c:v>40000</c:v>
                </c:pt>
                <c:pt idx="3">
                  <c:v>20000</c:v>
                </c:pt>
                <c:pt idx="4">
                  <c:v>80000</c:v>
                </c:pt>
                <c:pt idx="5">
                  <c:v>80000</c:v>
                </c:pt>
              </c:numCache>
            </c:numRef>
          </c:val>
          <c:extLst>
            <c:ext xmlns:c16="http://schemas.microsoft.com/office/drawing/2014/chart" uri="{C3380CC4-5D6E-409C-BE32-E72D297353CC}">
              <c16:uniqueId val="{00000002-45A1-4F01-8A7C-C388B6180872}"/>
            </c:ext>
          </c:extLst>
        </c:ser>
        <c:ser>
          <c:idx val="3"/>
          <c:order val="3"/>
          <c:tx>
            <c:strRef>
              <c:f>venituri!$V$9</c:f>
              <c:strCache>
                <c:ptCount val="1"/>
                <c:pt idx="0">
                  <c:v>intretinere gradini si amenajari peisagistice</c:v>
                </c:pt>
              </c:strCache>
            </c:strRef>
          </c:tx>
          <c:invertIfNegative val="0"/>
          <c:cat>
            <c:strRef>
              <c:f>venituri!$W$5:$AB$5</c:f>
              <c:strCache>
                <c:ptCount val="6"/>
                <c:pt idx="0">
                  <c:v>A1 tr1</c:v>
                </c:pt>
                <c:pt idx="1">
                  <c:v>A1 tr2</c:v>
                </c:pt>
                <c:pt idx="2">
                  <c:v>A1 tr3</c:v>
                </c:pt>
                <c:pt idx="3">
                  <c:v>A1 tr4</c:v>
                </c:pt>
                <c:pt idx="4">
                  <c:v>An 2</c:v>
                </c:pt>
                <c:pt idx="5">
                  <c:v>An 3</c:v>
                </c:pt>
              </c:strCache>
            </c:strRef>
          </c:cat>
          <c:val>
            <c:numRef>
              <c:f>venituri!$W$9:$AB$9</c:f>
              <c:numCache>
                <c:formatCode>_(* #,##0_);_(* \(#,##0\);_(* "-"??_);_(@_)</c:formatCode>
                <c:ptCount val="6"/>
                <c:pt idx="0">
                  <c:v>0</c:v>
                </c:pt>
                <c:pt idx="1">
                  <c:v>5000</c:v>
                </c:pt>
                <c:pt idx="2">
                  <c:v>10000</c:v>
                </c:pt>
                <c:pt idx="3">
                  <c:v>15000</c:v>
                </c:pt>
                <c:pt idx="4">
                  <c:v>30000</c:v>
                </c:pt>
                <c:pt idx="5">
                  <c:v>30000</c:v>
                </c:pt>
              </c:numCache>
            </c:numRef>
          </c:val>
          <c:extLst>
            <c:ext xmlns:c16="http://schemas.microsoft.com/office/drawing/2014/chart" uri="{C3380CC4-5D6E-409C-BE32-E72D297353CC}">
              <c16:uniqueId val="{00000003-45A1-4F01-8A7C-C388B6180872}"/>
            </c:ext>
          </c:extLst>
        </c:ser>
        <c:dLbls>
          <c:showLegendKey val="0"/>
          <c:showVal val="0"/>
          <c:showCatName val="0"/>
          <c:showSerName val="0"/>
          <c:showPercent val="0"/>
          <c:showBubbleSize val="0"/>
        </c:dLbls>
        <c:gapWidth val="150"/>
        <c:axId val="144943360"/>
        <c:axId val="144945152"/>
      </c:barChart>
      <c:catAx>
        <c:axId val="144943360"/>
        <c:scaling>
          <c:orientation val="minMax"/>
        </c:scaling>
        <c:delete val="0"/>
        <c:axPos val="b"/>
        <c:numFmt formatCode="General" sourceLinked="0"/>
        <c:majorTickMark val="none"/>
        <c:minorTickMark val="none"/>
        <c:tickLblPos val="nextTo"/>
        <c:crossAx val="144945152"/>
        <c:crosses val="autoZero"/>
        <c:auto val="1"/>
        <c:lblAlgn val="ctr"/>
        <c:lblOffset val="100"/>
        <c:noMultiLvlLbl val="0"/>
      </c:catAx>
      <c:valAx>
        <c:axId val="144945152"/>
        <c:scaling>
          <c:orientation val="minMax"/>
        </c:scaling>
        <c:delete val="0"/>
        <c:axPos val="l"/>
        <c:majorGridlines/>
        <c:numFmt formatCode="_(* #,##0_);_(* \(#,##0\);_(* &quot;-&quot;??_);_(@_)" sourceLinked="1"/>
        <c:majorTickMark val="none"/>
        <c:minorTickMark val="none"/>
        <c:tickLblPos val="nextTo"/>
        <c:crossAx val="144943360"/>
        <c:crosses val="autoZero"/>
        <c:crossBetween val="between"/>
      </c:valAx>
    </c:plotArea>
    <c:legend>
      <c:legendPos val="r"/>
      <c:overlay val="0"/>
    </c:legend>
    <c:plotVisOnly val="1"/>
    <c:dispBlanksAs val="gap"/>
    <c:showDLblsOverMax val="0"/>
  </c:chart>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barChart>
        <c:barDir val="col"/>
        <c:grouping val="stacked"/>
        <c:varyColors val="0"/>
        <c:ser>
          <c:idx val="0"/>
          <c:order val="0"/>
          <c:tx>
            <c:strRef>
              <c:f>cheltuieli!$L$29</c:f>
              <c:strCache>
                <c:ptCount val="1"/>
                <c:pt idx="0">
                  <c:v> Ch. Directe </c:v>
                </c:pt>
              </c:strCache>
            </c:strRef>
          </c:tx>
          <c:invertIfNegative val="0"/>
          <c:dLbls>
            <c:spPr>
              <a:noFill/>
              <a:ln>
                <a:noFill/>
              </a:ln>
              <a:effectLst/>
            </c:sp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cheltuieli!$M$28:$O$28</c:f>
              <c:strCache>
                <c:ptCount val="3"/>
                <c:pt idx="0">
                  <c:v> An 2019 </c:v>
                </c:pt>
                <c:pt idx="1">
                  <c:v> An 2020 </c:v>
                </c:pt>
                <c:pt idx="2">
                  <c:v> An 2021 </c:v>
                </c:pt>
              </c:strCache>
            </c:strRef>
          </c:cat>
          <c:val>
            <c:numRef>
              <c:f>cheltuieli!$M$29:$O$29</c:f>
              <c:numCache>
                <c:formatCode>_(* #,##0_);_(* \(#,##0\);_(* "-"??_);_(@_)</c:formatCode>
                <c:ptCount val="3"/>
                <c:pt idx="0">
                  <c:v>171100</c:v>
                </c:pt>
                <c:pt idx="1">
                  <c:v>216400</c:v>
                </c:pt>
                <c:pt idx="2">
                  <c:v>235600</c:v>
                </c:pt>
              </c:numCache>
            </c:numRef>
          </c:val>
          <c:extLst>
            <c:ext xmlns:c16="http://schemas.microsoft.com/office/drawing/2014/chart" uri="{C3380CC4-5D6E-409C-BE32-E72D297353CC}">
              <c16:uniqueId val="{00000000-6EB2-4B8D-84F1-661EBBB16E73}"/>
            </c:ext>
          </c:extLst>
        </c:ser>
        <c:ser>
          <c:idx val="1"/>
          <c:order val="1"/>
          <c:tx>
            <c:strRef>
              <c:f>cheltuieli!$L$30</c:f>
              <c:strCache>
                <c:ptCount val="1"/>
                <c:pt idx="0">
                  <c:v> Ch. Indirecte </c:v>
                </c:pt>
              </c:strCache>
            </c:strRef>
          </c:tx>
          <c:invertIfNegative val="0"/>
          <c:dLbls>
            <c:spPr>
              <a:noFill/>
              <a:ln>
                <a:noFill/>
              </a:ln>
              <a:effectLst/>
            </c:sp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cheltuieli!$M$28:$O$28</c:f>
              <c:strCache>
                <c:ptCount val="3"/>
                <c:pt idx="0">
                  <c:v> An 2019 </c:v>
                </c:pt>
                <c:pt idx="1">
                  <c:v> An 2020 </c:v>
                </c:pt>
                <c:pt idx="2">
                  <c:v> An 2021 </c:v>
                </c:pt>
              </c:strCache>
            </c:strRef>
          </c:cat>
          <c:val>
            <c:numRef>
              <c:f>cheltuieli!$M$30:$O$30</c:f>
              <c:numCache>
                <c:formatCode>_(* #,##0_);_(* \(#,##0\);_(* "-"??_);_(@_)</c:formatCode>
                <c:ptCount val="3"/>
                <c:pt idx="0">
                  <c:v>48448.965555555551</c:v>
                </c:pt>
                <c:pt idx="1">
                  <c:v>54691.213333333333</c:v>
                </c:pt>
                <c:pt idx="2">
                  <c:v>54691.213333333333</c:v>
                </c:pt>
              </c:numCache>
            </c:numRef>
          </c:val>
          <c:extLst>
            <c:ext xmlns:c16="http://schemas.microsoft.com/office/drawing/2014/chart" uri="{C3380CC4-5D6E-409C-BE32-E72D297353CC}">
              <c16:uniqueId val="{00000001-6EB2-4B8D-84F1-661EBBB16E73}"/>
            </c:ext>
          </c:extLst>
        </c:ser>
        <c:dLbls>
          <c:showLegendKey val="0"/>
          <c:showVal val="1"/>
          <c:showCatName val="0"/>
          <c:showSerName val="0"/>
          <c:showPercent val="0"/>
          <c:showBubbleSize val="0"/>
        </c:dLbls>
        <c:gapWidth val="95"/>
        <c:overlap val="100"/>
        <c:axId val="145021952"/>
        <c:axId val="146604800"/>
      </c:barChart>
      <c:catAx>
        <c:axId val="145021952"/>
        <c:scaling>
          <c:orientation val="minMax"/>
        </c:scaling>
        <c:delete val="0"/>
        <c:axPos val="b"/>
        <c:numFmt formatCode="General" sourceLinked="1"/>
        <c:majorTickMark val="none"/>
        <c:minorTickMark val="none"/>
        <c:tickLblPos val="nextTo"/>
        <c:crossAx val="146604800"/>
        <c:crosses val="autoZero"/>
        <c:auto val="1"/>
        <c:lblAlgn val="ctr"/>
        <c:lblOffset val="100"/>
        <c:noMultiLvlLbl val="0"/>
      </c:catAx>
      <c:valAx>
        <c:axId val="146604800"/>
        <c:scaling>
          <c:orientation val="minMax"/>
        </c:scaling>
        <c:delete val="1"/>
        <c:axPos val="l"/>
        <c:numFmt formatCode="_(* #,##0_);_(* \(#,##0\);_(* &quot;-&quot;??_);_(@_)" sourceLinked="1"/>
        <c:majorTickMark val="none"/>
        <c:minorTickMark val="none"/>
        <c:tickLblPos val="nextTo"/>
        <c:crossAx val="145021952"/>
        <c:crosses val="autoZero"/>
        <c:crossBetween val="between"/>
      </c:valAx>
    </c:plotArea>
    <c:legend>
      <c:legendPos val="t"/>
      <c:overlay val="0"/>
    </c:legend>
    <c:plotVisOnly val="1"/>
    <c:dispBlanksAs val="gap"/>
    <c:showDLblsOverMax val="0"/>
  </c:chart>
  <c:printSettings>
    <c:headerFooter/>
    <c:pageMargins b="0.75" l="0.7" r="0.7" t="0.75" header="0.3" footer="0.3"/>
    <c:pageSetup/>
  </c:printSettings>
</c:chartSpace>
</file>

<file path=xl/drawings/_rels/drawing1.xml.rels><?xml version="1.0" encoding="UTF-8" standalone="yes"?>
<Relationships xmlns="http://schemas.openxmlformats.org/package/2006/relationships"><Relationship Id="rId2" Type="http://schemas.openxmlformats.org/officeDocument/2006/relationships/chart" Target="../charts/chart2.xml"/><Relationship Id="rId1" Type="http://schemas.openxmlformats.org/officeDocument/2006/relationships/chart" Target="../charts/chart1.xml"/></Relationships>
</file>

<file path=xl/drawings/_rels/drawing2.xml.rels><?xml version="1.0" encoding="UTF-8" standalone="yes"?>
<Relationships xmlns="http://schemas.openxmlformats.org/package/2006/relationships"><Relationship Id="rId1" Type="http://schemas.openxmlformats.org/officeDocument/2006/relationships/chart" Target="../charts/chart3.xml"/></Relationships>
</file>

<file path=xl/drawings/_rels/drawing3.xml.rels><?xml version="1.0" encoding="UTF-8" standalone="yes"?>
<Relationships xmlns="http://schemas.openxmlformats.org/package/2006/relationships"><Relationship Id="rId1" Type="http://schemas.openxmlformats.org/officeDocument/2006/relationships/chart" Target="../charts/chart4.xml"/></Relationships>
</file>

<file path=xl/drawings/drawing1.xml><?xml version="1.0" encoding="utf-8"?>
<xdr:wsDr xmlns:xdr="http://schemas.openxmlformats.org/drawingml/2006/spreadsheetDrawing" xmlns:a="http://schemas.openxmlformats.org/drawingml/2006/main">
  <xdr:twoCellAnchor>
    <xdr:from>
      <xdr:col>5</xdr:col>
      <xdr:colOff>1012825</xdr:colOff>
      <xdr:row>7</xdr:row>
      <xdr:rowOff>212725</xdr:rowOff>
    </xdr:from>
    <xdr:to>
      <xdr:col>9</xdr:col>
      <xdr:colOff>1171575</xdr:colOff>
      <xdr:row>18</xdr:row>
      <xdr:rowOff>15875</xdr:rowOff>
    </xdr:to>
    <xdr:graphicFrame macro="">
      <xdr:nvGraphicFramePr>
        <xdr:cNvPr id="2" name="Chart 1">
          <a:extLst>
            <a:ext uri="{FF2B5EF4-FFF2-40B4-BE49-F238E27FC236}">
              <a16:creationId xmlns:a16="http://schemas.microsoft.com/office/drawing/2014/main" id="{00000000-0008-0000-0100-000002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5</xdr:col>
      <xdr:colOff>581025</xdr:colOff>
      <xdr:row>27</xdr:row>
      <xdr:rowOff>9525</xdr:rowOff>
    </xdr:from>
    <xdr:to>
      <xdr:col>9</xdr:col>
      <xdr:colOff>739775</xdr:colOff>
      <xdr:row>37</xdr:row>
      <xdr:rowOff>47625</xdr:rowOff>
    </xdr:to>
    <xdr:graphicFrame macro="">
      <xdr:nvGraphicFramePr>
        <xdr:cNvPr id="3" name="Chart 2">
          <a:extLst>
            <a:ext uri="{FF2B5EF4-FFF2-40B4-BE49-F238E27FC236}">
              <a16:creationId xmlns:a16="http://schemas.microsoft.com/office/drawing/2014/main" id="{00000000-0008-0000-0100-000003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drawings/drawing2.xml><?xml version="1.0" encoding="utf-8"?>
<xdr:wsDr xmlns:xdr="http://schemas.openxmlformats.org/drawingml/2006/spreadsheetDrawing" xmlns:a="http://schemas.openxmlformats.org/drawingml/2006/main">
  <xdr:twoCellAnchor>
    <xdr:from>
      <xdr:col>18</xdr:col>
      <xdr:colOff>258534</xdr:colOff>
      <xdr:row>10</xdr:row>
      <xdr:rowOff>138793</xdr:rowOff>
    </xdr:from>
    <xdr:to>
      <xdr:col>28</xdr:col>
      <xdr:colOff>299356</xdr:colOff>
      <xdr:row>26</xdr:row>
      <xdr:rowOff>72570</xdr:rowOff>
    </xdr:to>
    <xdr:graphicFrame macro="">
      <xdr:nvGraphicFramePr>
        <xdr:cNvPr id="3" name="Chart 2">
          <a:extLst>
            <a:ext uri="{FF2B5EF4-FFF2-40B4-BE49-F238E27FC236}">
              <a16:creationId xmlns:a16="http://schemas.microsoft.com/office/drawing/2014/main" id="{00000000-0008-0000-0500-000003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3.xml><?xml version="1.0" encoding="utf-8"?>
<xdr:wsDr xmlns:xdr="http://schemas.openxmlformats.org/drawingml/2006/spreadsheetDrawing" xmlns:a="http://schemas.openxmlformats.org/drawingml/2006/main">
  <xdr:twoCellAnchor>
    <xdr:from>
      <xdr:col>8</xdr:col>
      <xdr:colOff>1186656</xdr:colOff>
      <xdr:row>32</xdr:row>
      <xdr:rowOff>13493</xdr:rowOff>
    </xdr:from>
    <xdr:to>
      <xdr:col>13</xdr:col>
      <xdr:colOff>361156</xdr:colOff>
      <xdr:row>47</xdr:row>
      <xdr:rowOff>18256</xdr:rowOff>
    </xdr:to>
    <xdr:graphicFrame macro="">
      <xdr:nvGraphicFramePr>
        <xdr:cNvPr id="3" name="Chart 2">
          <a:extLst>
            <a:ext uri="{FF2B5EF4-FFF2-40B4-BE49-F238E27FC236}">
              <a16:creationId xmlns:a16="http://schemas.microsoft.com/office/drawing/2014/main" id="{00000000-0008-0000-0600-000003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theme/theme1.xml><?xml version="1.0" encoding="utf-8"?>
<a:theme xmlns:a="http://schemas.openxmlformats.org/drawingml/2006/main" name="Temă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2:J31"/>
  <sheetViews>
    <sheetView workbookViewId="0">
      <selection activeCell="G11" sqref="G11"/>
    </sheetView>
  </sheetViews>
  <sheetFormatPr baseColWidth="10" defaultColWidth="34" defaultRowHeight="15" x14ac:dyDescent="0.25"/>
  <cols>
    <col min="1" max="1" width="10.42578125" customWidth="1"/>
    <col min="2" max="2" width="6.140625" customWidth="1"/>
    <col min="3" max="3" width="46.5703125" customWidth="1"/>
    <col min="4" max="4" width="13.85546875" customWidth="1"/>
    <col min="5" max="5" width="15.42578125" customWidth="1"/>
    <col min="6" max="6" width="14" customWidth="1"/>
  </cols>
  <sheetData>
    <row r="2" spans="2:6" ht="16.5" thickBot="1" x14ac:dyDescent="0.3">
      <c r="B2" s="229"/>
      <c r="C2" s="387" t="s">
        <v>225</v>
      </c>
      <c r="D2" s="388"/>
      <c r="E2" s="388"/>
      <c r="F2" s="388"/>
    </row>
    <row r="3" spans="2:6" ht="16.5" thickBot="1" x14ac:dyDescent="0.3">
      <c r="B3" s="228" t="s">
        <v>226</v>
      </c>
      <c r="C3" s="232" t="s">
        <v>260</v>
      </c>
      <c r="D3" s="231" t="s">
        <v>194</v>
      </c>
      <c r="E3" s="231" t="s">
        <v>195</v>
      </c>
      <c r="F3" s="231" t="s">
        <v>309</v>
      </c>
    </row>
    <row r="4" spans="2:6" ht="16.5" thickBot="1" x14ac:dyDescent="0.3">
      <c r="B4" s="231" t="s">
        <v>227</v>
      </c>
      <c r="C4" s="232" t="s">
        <v>228</v>
      </c>
      <c r="D4" s="305">
        <v>1000</v>
      </c>
      <c r="E4" s="305">
        <f>D31</f>
        <v>14801.63444444444</v>
      </c>
      <c r="F4" s="305">
        <f>E31</f>
        <v>42690.421111111122</v>
      </c>
    </row>
    <row r="5" spans="2:6" ht="16.5" thickBot="1" x14ac:dyDescent="0.3">
      <c r="B5" s="263" t="s">
        <v>229</v>
      </c>
      <c r="C5" s="264" t="s">
        <v>230</v>
      </c>
      <c r="D5" s="306">
        <f>SUM(D6:D9)</f>
        <v>388340</v>
      </c>
      <c r="E5" s="306">
        <f t="shared" ref="E5:F5" si="0">SUM(E6:E9)</f>
        <v>302000</v>
      </c>
      <c r="F5" s="306">
        <f t="shared" si="0"/>
        <v>376000</v>
      </c>
    </row>
    <row r="6" spans="2:6" ht="16.5" thickBot="1" x14ac:dyDescent="0.3">
      <c r="B6" s="231">
        <v>1</v>
      </c>
      <c r="C6" s="233" t="s">
        <v>231</v>
      </c>
      <c r="D6" s="305">
        <f>venituri!O10</f>
        <v>210000</v>
      </c>
      <c r="E6" s="305">
        <f>venituri!P10</f>
        <v>302000</v>
      </c>
      <c r="F6" s="305">
        <f>venituri!Q10</f>
        <v>376000</v>
      </c>
    </row>
    <row r="7" spans="2:6" ht="16.5" thickBot="1" x14ac:dyDescent="0.3">
      <c r="B7" s="231">
        <v>2</v>
      </c>
      <c r="C7" s="233" t="s">
        <v>232</v>
      </c>
      <c r="D7" s="305"/>
      <c r="E7" s="305"/>
      <c r="F7" s="305"/>
    </row>
    <row r="8" spans="2:6" ht="16.5" thickBot="1" x14ac:dyDescent="0.3">
      <c r="B8" s="231">
        <v>3</v>
      </c>
      <c r="C8" s="233" t="s">
        <v>233</v>
      </c>
      <c r="D8" s="305"/>
      <c r="E8" s="305"/>
      <c r="F8" s="305"/>
    </row>
    <row r="9" spans="2:6" ht="16.5" thickBot="1" x14ac:dyDescent="0.3">
      <c r="B9" s="231">
        <v>4</v>
      </c>
      <c r="C9" s="232" t="s">
        <v>234</v>
      </c>
      <c r="D9" s="305">
        <f>investitia!C65</f>
        <v>178340</v>
      </c>
      <c r="E9" s="305"/>
      <c r="F9" s="305"/>
    </row>
    <row r="10" spans="2:6" ht="16.5" thickBot="1" x14ac:dyDescent="0.3">
      <c r="B10" s="263"/>
      <c r="C10" s="264" t="s">
        <v>235</v>
      </c>
      <c r="D10" s="306">
        <f>D4+D5</f>
        <v>389340</v>
      </c>
      <c r="E10" s="306">
        <f t="shared" ref="E10:F10" si="1">E4+E5</f>
        <v>316801.63444444444</v>
      </c>
      <c r="F10" s="306">
        <f t="shared" si="1"/>
        <v>418690.42111111112</v>
      </c>
    </row>
    <row r="11" spans="2:6" ht="16.5" thickBot="1" x14ac:dyDescent="0.3">
      <c r="B11" s="263" t="s">
        <v>236</v>
      </c>
      <c r="C11" s="264" t="s">
        <v>237</v>
      </c>
      <c r="D11" s="306">
        <f>SUM(D12:D19)</f>
        <v>230848.96555555554</v>
      </c>
      <c r="E11" s="306">
        <f t="shared" ref="E11:F11" si="2">SUM(E12:E19)</f>
        <v>274111.21333333332</v>
      </c>
      <c r="F11" s="306">
        <f t="shared" si="2"/>
        <v>294051.21333333332</v>
      </c>
    </row>
    <row r="12" spans="2:6" ht="32.25" thickBot="1" x14ac:dyDescent="0.3">
      <c r="B12" s="231">
        <v>1</v>
      </c>
      <c r="C12" s="233" t="s">
        <v>238</v>
      </c>
      <c r="D12" s="305">
        <f>'SCV - diasp'!C8</f>
        <v>70000</v>
      </c>
      <c r="E12" s="305">
        <f>'SCV - diasp'!D8</f>
        <v>97600</v>
      </c>
      <c r="F12" s="305">
        <f>'SCV - diasp'!E8</f>
        <v>116800</v>
      </c>
    </row>
    <row r="13" spans="2:6" ht="16.5" thickBot="1" x14ac:dyDescent="0.3">
      <c r="B13" s="231">
        <v>2</v>
      </c>
      <c r="C13" s="233" t="s">
        <v>199</v>
      </c>
      <c r="D13" s="307">
        <f>'SCV - diasp'!C9</f>
        <v>84000</v>
      </c>
      <c r="E13" s="307">
        <f>'SCV - diasp'!D9</f>
        <v>96000</v>
      </c>
      <c r="F13" s="307">
        <f>'SCV - diasp'!E9</f>
        <v>96000</v>
      </c>
    </row>
    <row r="14" spans="2:6" ht="16.5" thickBot="1" x14ac:dyDescent="0.3">
      <c r="B14" s="231">
        <v>3</v>
      </c>
      <c r="C14" s="233" t="s">
        <v>202</v>
      </c>
      <c r="D14" s="307">
        <f>'SCV - diasp'!C12</f>
        <v>12690</v>
      </c>
      <c r="E14" s="307">
        <f>'SCV - diasp'!D12</f>
        <v>16920</v>
      </c>
      <c r="F14" s="307">
        <f>'SCV - diasp'!E12</f>
        <v>16920</v>
      </c>
    </row>
    <row r="15" spans="2:6" ht="16.5" thickBot="1" x14ac:dyDescent="0.3">
      <c r="B15" s="231">
        <v>4</v>
      </c>
      <c r="C15" s="233" t="s">
        <v>203</v>
      </c>
      <c r="D15" s="308">
        <f>'SCV - diasp'!C13</f>
        <v>17100</v>
      </c>
      <c r="E15" s="308">
        <f>'SCV - diasp'!D13</f>
        <v>22800</v>
      </c>
      <c r="F15" s="308">
        <f>'SCV - diasp'!E13</f>
        <v>22800</v>
      </c>
    </row>
    <row r="16" spans="2:6" ht="32.25" thickBot="1" x14ac:dyDescent="0.3">
      <c r="B16" s="231">
        <v>5</v>
      </c>
      <c r="C16" s="233" t="s">
        <v>239</v>
      </c>
      <c r="D16" s="307">
        <f>'SCV - diasp'!C14</f>
        <v>11850</v>
      </c>
      <c r="E16" s="307">
        <f>'SCV - diasp'!D14</f>
        <v>6800</v>
      </c>
      <c r="F16" s="307">
        <f>'SCV - diasp'!E14</f>
        <v>6800</v>
      </c>
    </row>
    <row r="17" spans="2:10" ht="16.5" thickBot="1" x14ac:dyDescent="0.3">
      <c r="B17" s="231">
        <v>6</v>
      </c>
      <c r="C17" s="233" t="s">
        <v>205</v>
      </c>
      <c r="D17" s="307">
        <f>'SCV - diasp'!C15</f>
        <v>1500</v>
      </c>
      <c r="E17" s="307">
        <f>'SCV - diasp'!D15</f>
        <v>1500</v>
      </c>
      <c r="F17" s="307">
        <f>'SCV - diasp'!E15</f>
        <v>1500</v>
      </c>
    </row>
    <row r="18" spans="2:10" ht="16.5" thickBot="1" x14ac:dyDescent="0.3">
      <c r="B18" s="231">
        <v>7</v>
      </c>
      <c r="C18" s="233" t="s">
        <v>240</v>
      </c>
      <c r="D18" s="307">
        <f>'SCV - diasp'!C16</f>
        <v>2100</v>
      </c>
      <c r="E18" s="307">
        <f>'SCV - diasp'!D16</f>
        <v>3020</v>
      </c>
      <c r="F18" s="307">
        <f>'SCV - diasp'!E16</f>
        <v>3760</v>
      </c>
    </row>
    <row r="19" spans="2:10" ht="16.5" thickBot="1" x14ac:dyDescent="0.3">
      <c r="B19" s="231">
        <v>8</v>
      </c>
      <c r="C19" s="233" t="s">
        <v>207</v>
      </c>
      <c r="D19" s="307">
        <f>'SCV - diasp'!C17</f>
        <v>31608.965555555551</v>
      </c>
      <c r="E19" s="307">
        <f>'SCV - diasp'!D17</f>
        <v>29471.21333333333</v>
      </c>
      <c r="F19" s="307">
        <f>'SCV - diasp'!E17</f>
        <v>29471.21333333333</v>
      </c>
    </row>
    <row r="20" spans="2:10" ht="32.25" thickBot="1" x14ac:dyDescent="0.3">
      <c r="B20" s="231" t="s">
        <v>241</v>
      </c>
      <c r="C20" s="232" t="s">
        <v>242</v>
      </c>
      <c r="D20" s="305">
        <f>investitia!C56+investitia!C57</f>
        <v>143689.4</v>
      </c>
      <c r="E20" s="305">
        <v>0</v>
      </c>
      <c r="F20" s="305">
        <v>0</v>
      </c>
      <c r="I20" s="230"/>
      <c r="J20" s="234"/>
    </row>
    <row r="21" spans="2:10" ht="16.5" thickBot="1" x14ac:dyDescent="0.3">
      <c r="B21" s="231" t="s">
        <v>243</v>
      </c>
      <c r="C21" s="232" t="s">
        <v>244</v>
      </c>
      <c r="D21" s="305"/>
      <c r="E21" s="305"/>
      <c r="F21" s="305"/>
    </row>
    <row r="22" spans="2:10" ht="16.5" thickBot="1" x14ac:dyDescent="0.3">
      <c r="B22" s="231"/>
      <c r="C22" s="233" t="s">
        <v>245</v>
      </c>
      <c r="D22" s="305"/>
      <c r="E22" s="305"/>
      <c r="F22" s="305"/>
    </row>
    <row r="23" spans="2:10" ht="16.5" thickBot="1" x14ac:dyDescent="0.3">
      <c r="B23" s="231"/>
      <c r="C23" s="233" t="s">
        <v>246</v>
      </c>
      <c r="D23" s="305"/>
      <c r="E23" s="305"/>
      <c r="F23" s="305"/>
    </row>
    <row r="24" spans="2:10" ht="16.5" thickBot="1" x14ac:dyDescent="0.3">
      <c r="B24" s="231" t="s">
        <v>247</v>
      </c>
      <c r="C24" s="232" t="s">
        <v>248</v>
      </c>
      <c r="D24" s="305"/>
      <c r="E24" s="305"/>
      <c r="F24" s="305"/>
    </row>
    <row r="25" spans="2:10" ht="16.5" thickBot="1" x14ac:dyDescent="0.3">
      <c r="B25" s="231">
        <v>1</v>
      </c>
      <c r="C25" s="233" t="s">
        <v>249</v>
      </c>
      <c r="D25" s="305"/>
      <c r="E25" s="305"/>
      <c r="F25" s="305"/>
    </row>
    <row r="26" spans="2:10" ht="16.5" thickBot="1" x14ac:dyDescent="0.3">
      <c r="B26" s="231">
        <v>2</v>
      </c>
      <c r="C26" s="233" t="s">
        <v>250</v>
      </c>
      <c r="D26" s="305"/>
      <c r="E26" s="305"/>
      <c r="F26" s="305"/>
    </row>
    <row r="27" spans="2:10" ht="16.5" thickBot="1" x14ac:dyDescent="0.3">
      <c r="B27" s="231">
        <v>3</v>
      </c>
      <c r="C27" s="233" t="s">
        <v>251</v>
      </c>
      <c r="D27" s="305"/>
      <c r="E27" s="305"/>
      <c r="F27" s="305"/>
    </row>
    <row r="28" spans="2:10" ht="16.5" thickBot="1" x14ac:dyDescent="0.3">
      <c r="B28" s="231" t="s">
        <v>252</v>
      </c>
      <c r="C28" s="232" t="s">
        <v>253</v>
      </c>
      <c r="D28" s="305"/>
      <c r="E28" s="305"/>
      <c r="F28" s="305"/>
    </row>
    <row r="29" spans="2:10" ht="16.5" thickBot="1" x14ac:dyDescent="0.3">
      <c r="B29" s="231" t="s">
        <v>254</v>
      </c>
      <c r="C29" s="232" t="s">
        <v>255</v>
      </c>
      <c r="D29" s="309">
        <f>D11+D20+D21+D24+D28</f>
        <v>374538.36555555556</v>
      </c>
      <c r="E29" s="309">
        <f t="shared" ref="E29:F29" si="3">E11+E20+E21+E24+E28</f>
        <v>274111.21333333332</v>
      </c>
      <c r="F29" s="309">
        <f t="shared" si="3"/>
        <v>294051.21333333332</v>
      </c>
    </row>
    <row r="30" spans="2:10" ht="16.5" thickBot="1" x14ac:dyDescent="0.3">
      <c r="B30" s="231" t="s">
        <v>256</v>
      </c>
      <c r="C30" s="232" t="s">
        <v>257</v>
      </c>
      <c r="D30" s="309">
        <f>D5-D29</f>
        <v>13801.63444444444</v>
      </c>
      <c r="E30" s="309">
        <f t="shared" ref="E30:F30" si="4">E5-E29</f>
        <v>27888.786666666681</v>
      </c>
      <c r="F30" s="309">
        <f t="shared" si="4"/>
        <v>81948.786666666681</v>
      </c>
    </row>
    <row r="31" spans="2:10" ht="16.5" thickBot="1" x14ac:dyDescent="0.3">
      <c r="B31" s="231" t="s">
        <v>258</v>
      </c>
      <c r="C31" s="232" t="s">
        <v>259</v>
      </c>
      <c r="D31" s="309">
        <f>D30+D4</f>
        <v>14801.63444444444</v>
      </c>
      <c r="E31" s="309">
        <f t="shared" ref="E31:F31" si="5">E30+E4</f>
        <v>42690.421111111122</v>
      </c>
      <c r="F31" s="309">
        <f t="shared" si="5"/>
        <v>124639.2077777778</v>
      </c>
    </row>
  </sheetData>
  <mergeCells count="1">
    <mergeCell ref="C2:F2"/>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J34"/>
  <sheetViews>
    <sheetView topLeftCell="A18" zoomScaleNormal="100" workbookViewId="0">
      <selection activeCell="C28" sqref="C28:E28"/>
    </sheetView>
  </sheetViews>
  <sheetFormatPr baseColWidth="10" defaultColWidth="35.140625" defaultRowHeight="15" x14ac:dyDescent="0.25"/>
  <cols>
    <col min="1" max="1" width="8.5703125" customWidth="1"/>
    <col min="2" max="2" width="42.5703125" customWidth="1"/>
    <col min="3" max="3" width="13.140625" customWidth="1"/>
    <col min="4" max="4" width="11.7109375" customWidth="1"/>
    <col min="5" max="5" width="13.140625" customWidth="1"/>
    <col min="6" max="6" width="22.140625" customWidth="1"/>
    <col min="7" max="7" width="14.42578125" customWidth="1"/>
    <col min="8" max="8" width="11.85546875" customWidth="1"/>
    <col min="9" max="9" width="14.85546875" customWidth="1"/>
    <col min="10" max="10" width="18.42578125" customWidth="1"/>
  </cols>
  <sheetData>
    <row r="1" spans="1:5" x14ac:dyDescent="0.25">
      <c r="A1" s="235"/>
      <c r="B1" s="236"/>
      <c r="C1" s="235"/>
      <c r="D1" s="235"/>
      <c r="E1" s="235"/>
    </row>
    <row r="2" spans="1:5" ht="15.75" thickBot="1" x14ac:dyDescent="0.3">
      <c r="A2" s="389" t="s">
        <v>193</v>
      </c>
      <c r="B2" s="390"/>
      <c r="C2" s="390"/>
      <c r="D2" s="390"/>
      <c r="E2" s="391"/>
    </row>
    <row r="3" spans="1:5" x14ac:dyDescent="0.25">
      <c r="A3" s="237"/>
      <c r="B3" s="238"/>
      <c r="C3" s="239" t="s">
        <v>194</v>
      </c>
      <c r="D3" s="239" t="s">
        <v>195</v>
      </c>
      <c r="E3" s="239" t="s">
        <v>309</v>
      </c>
    </row>
    <row r="4" spans="1:5" x14ac:dyDescent="0.25">
      <c r="A4" s="240">
        <v>1</v>
      </c>
      <c r="B4" s="241" t="s">
        <v>196</v>
      </c>
      <c r="C4" s="303"/>
      <c r="D4" s="303"/>
      <c r="E4" s="303"/>
    </row>
    <row r="5" spans="1:5" x14ac:dyDescent="0.25">
      <c r="A5" s="240">
        <v>2</v>
      </c>
      <c r="B5" s="242" t="s">
        <v>223</v>
      </c>
      <c r="C5" s="259">
        <f>venituri!O10</f>
        <v>210000</v>
      </c>
      <c r="D5" s="259">
        <f>venituri!P10</f>
        <v>302000</v>
      </c>
      <c r="E5" s="259">
        <f>venituri!Q10</f>
        <v>376000</v>
      </c>
    </row>
    <row r="6" spans="1:5" x14ac:dyDescent="0.25">
      <c r="A6" s="240">
        <v>3</v>
      </c>
      <c r="B6" s="241" t="s">
        <v>224</v>
      </c>
      <c r="C6" s="303">
        <v>0</v>
      </c>
      <c r="D6" s="303">
        <v>0</v>
      </c>
      <c r="E6" s="303">
        <v>0</v>
      </c>
    </row>
    <row r="7" spans="1:5" ht="29.25" x14ac:dyDescent="0.25">
      <c r="A7" s="240">
        <v>4</v>
      </c>
      <c r="B7" s="243" t="s">
        <v>197</v>
      </c>
      <c r="C7" s="259">
        <f>SUM(C5:C6)</f>
        <v>210000</v>
      </c>
      <c r="D7" s="259">
        <f t="shared" ref="D7:E7" si="0">SUM(D5:D6)</f>
        <v>302000</v>
      </c>
      <c r="E7" s="259">
        <f t="shared" si="0"/>
        <v>376000</v>
      </c>
    </row>
    <row r="8" spans="1:5" ht="30" x14ac:dyDescent="0.25">
      <c r="A8" s="240">
        <v>5</v>
      </c>
      <c r="B8" s="241" t="s">
        <v>198</v>
      </c>
      <c r="C8" s="303">
        <f>cheltuieli!N5+cheltuieli!N6</f>
        <v>70000</v>
      </c>
      <c r="D8" s="303">
        <f>cheltuieli!O5+cheltuieli!O6</f>
        <v>97600</v>
      </c>
      <c r="E8" s="303">
        <f>cheltuieli!P5+cheltuieli!P6</f>
        <v>116800</v>
      </c>
    </row>
    <row r="9" spans="1:5" x14ac:dyDescent="0.25">
      <c r="A9" s="240">
        <v>6</v>
      </c>
      <c r="B9" s="241" t="s">
        <v>199</v>
      </c>
      <c r="C9" s="303">
        <f>cheltuieli!N7</f>
        <v>84000</v>
      </c>
      <c r="D9" s="303">
        <f>cheltuieli!O7</f>
        <v>96000</v>
      </c>
      <c r="E9" s="303">
        <f>cheltuieli!P7</f>
        <v>96000</v>
      </c>
    </row>
    <row r="10" spans="1:5" x14ac:dyDescent="0.25">
      <c r="A10" s="240"/>
      <c r="B10" s="241" t="s">
        <v>200</v>
      </c>
      <c r="C10" s="303">
        <f>C9*57.2%</f>
        <v>48048.000000000007</v>
      </c>
      <c r="D10" s="303">
        <f t="shared" ref="D10:E10" si="1">D9*57.2%</f>
        <v>54912.000000000007</v>
      </c>
      <c r="E10" s="303">
        <f t="shared" si="1"/>
        <v>54912.000000000007</v>
      </c>
    </row>
    <row r="11" spans="1:5" x14ac:dyDescent="0.25">
      <c r="A11" s="240"/>
      <c r="B11" s="241" t="s">
        <v>201</v>
      </c>
      <c r="C11" s="303">
        <f>C9*42.8%</f>
        <v>35952</v>
      </c>
      <c r="D11" s="303">
        <f t="shared" ref="D11:E11" si="2">D9*42.8%</f>
        <v>41088</v>
      </c>
      <c r="E11" s="303">
        <f t="shared" si="2"/>
        <v>41088</v>
      </c>
    </row>
    <row r="12" spans="1:5" ht="15.75" x14ac:dyDescent="0.25">
      <c r="A12" s="240">
        <v>7</v>
      </c>
      <c r="B12" s="244" t="s">
        <v>202</v>
      </c>
      <c r="C12" s="303">
        <f>cheltuieli!N20</f>
        <v>12690</v>
      </c>
      <c r="D12" s="303">
        <f>cheltuieli!O20</f>
        <v>16920</v>
      </c>
      <c r="E12" s="303">
        <f>cheltuieli!P20</f>
        <v>16920</v>
      </c>
    </row>
    <row r="13" spans="1:5" ht="15.75" x14ac:dyDescent="0.25">
      <c r="A13" s="240">
        <v>8</v>
      </c>
      <c r="B13" s="244" t="s">
        <v>284</v>
      </c>
      <c r="C13" s="303">
        <f>cheltuieli!N8+cheltuieli!N10</f>
        <v>17100</v>
      </c>
      <c r="D13" s="303">
        <f>cheltuieli!O8+cheltuieli!O10</f>
        <v>22800</v>
      </c>
      <c r="E13" s="303">
        <f>cheltuieli!P8+cheltuieli!P10</f>
        <v>22800</v>
      </c>
    </row>
    <row r="14" spans="1:5" ht="30" x14ac:dyDescent="0.25">
      <c r="A14" s="240">
        <v>9</v>
      </c>
      <c r="B14" s="245" t="s">
        <v>204</v>
      </c>
      <c r="C14" s="303">
        <f>cheltuieli!N14+cheltuieli!N17</f>
        <v>11850</v>
      </c>
      <c r="D14" s="303">
        <f>cheltuieli!O14+cheltuieli!O17</f>
        <v>6800</v>
      </c>
      <c r="E14" s="303">
        <f>cheltuieli!P14+cheltuieli!P17</f>
        <v>6800</v>
      </c>
    </row>
    <row r="15" spans="1:5" x14ac:dyDescent="0.25">
      <c r="A15" s="240">
        <v>10</v>
      </c>
      <c r="B15" s="241" t="s">
        <v>205</v>
      </c>
      <c r="C15" s="303">
        <f>cheltuieli!N19</f>
        <v>1500</v>
      </c>
      <c r="D15" s="303">
        <f>cheltuieli!O19</f>
        <v>1500</v>
      </c>
      <c r="E15" s="303">
        <f>cheltuieli!P19</f>
        <v>1500</v>
      </c>
    </row>
    <row r="16" spans="1:5" ht="30" x14ac:dyDescent="0.25">
      <c r="A16" s="240">
        <v>11</v>
      </c>
      <c r="B16" s="241" t="s">
        <v>206</v>
      </c>
      <c r="C16" s="303">
        <f>1%*C7</f>
        <v>2100</v>
      </c>
      <c r="D16" s="303">
        <f t="shared" ref="D16:E16" si="3">1%*D7</f>
        <v>3020</v>
      </c>
      <c r="E16" s="303">
        <f t="shared" si="3"/>
        <v>3760</v>
      </c>
    </row>
    <row r="17" spans="1:10" ht="30" x14ac:dyDescent="0.25">
      <c r="A17" s="240">
        <v>12</v>
      </c>
      <c r="B17" s="241" t="s">
        <v>222</v>
      </c>
      <c r="C17" s="303">
        <f>cheltuieli!J19+cheltuieli!J23+cheltuieli!N22</f>
        <v>31608.965555555551</v>
      </c>
      <c r="D17" s="303">
        <f>cheltuieli!K19+cheltuieli!K23+cheltuieli!O22</f>
        <v>29471.21333333333</v>
      </c>
      <c r="E17" s="303">
        <f>cheltuieli!L19+cheltuieli!L23+cheltuieli!P22</f>
        <v>29471.21333333333</v>
      </c>
      <c r="F17" s="234"/>
    </row>
    <row r="18" spans="1:10" x14ac:dyDescent="0.25">
      <c r="A18" s="240">
        <v>13</v>
      </c>
      <c r="B18" s="243" t="s">
        <v>208</v>
      </c>
      <c r="C18" s="259">
        <f>C8+C9+C12+C13+C14+C15+C16+C17</f>
        <v>230848.96555555554</v>
      </c>
      <c r="D18" s="259">
        <f t="shared" ref="D18:E18" si="4">D8+D9+D12+D13+D14+D15+D16+D17</f>
        <v>274111.21333333332</v>
      </c>
      <c r="E18" s="259">
        <f t="shared" si="4"/>
        <v>294051.21333333332</v>
      </c>
    </row>
    <row r="19" spans="1:10" ht="29.25" x14ac:dyDescent="0.25">
      <c r="A19" s="240">
        <v>14</v>
      </c>
      <c r="B19" s="243" t="s">
        <v>209</v>
      </c>
      <c r="C19" s="303"/>
      <c r="D19" s="303"/>
      <c r="E19" s="303"/>
    </row>
    <row r="20" spans="1:10" x14ac:dyDescent="0.25">
      <c r="A20" s="240">
        <v>15</v>
      </c>
      <c r="B20" s="241" t="s">
        <v>210</v>
      </c>
      <c r="C20" s="259">
        <f>C7-C18</f>
        <v>-20848.965555555536</v>
      </c>
      <c r="D20" s="259">
        <f t="shared" ref="D20:E20" si="5">D7-D18</f>
        <v>27888.786666666681</v>
      </c>
      <c r="E20" s="259">
        <f t="shared" si="5"/>
        <v>81948.786666666681</v>
      </c>
      <c r="H20" t="s">
        <v>289</v>
      </c>
      <c r="I20" t="s">
        <v>290</v>
      </c>
      <c r="J20" t="s">
        <v>310</v>
      </c>
    </row>
    <row r="21" spans="1:10" x14ac:dyDescent="0.25">
      <c r="A21" s="240">
        <v>16</v>
      </c>
      <c r="B21" s="246" t="s">
        <v>211</v>
      </c>
      <c r="C21" s="259"/>
      <c r="D21" s="259"/>
      <c r="E21" s="259"/>
      <c r="G21" t="s">
        <v>285</v>
      </c>
      <c r="H21" s="261">
        <f>C7</f>
        <v>210000</v>
      </c>
      <c r="I21" s="261">
        <f t="shared" ref="I21:J21" si="6">D7</f>
        <v>302000</v>
      </c>
      <c r="J21" s="261">
        <f t="shared" si="6"/>
        <v>376000</v>
      </c>
    </row>
    <row r="22" spans="1:10" x14ac:dyDescent="0.25">
      <c r="A22" s="240">
        <v>17</v>
      </c>
      <c r="B22" s="247" t="s">
        <v>212</v>
      </c>
      <c r="C22" s="303">
        <v>0</v>
      </c>
      <c r="D22" s="303"/>
      <c r="E22" s="303"/>
      <c r="G22" t="s">
        <v>286</v>
      </c>
      <c r="H22" s="261">
        <f>C18</f>
        <v>230848.96555555554</v>
      </c>
      <c r="I22" s="261">
        <f t="shared" ref="I22:J22" si="7">D18</f>
        <v>274111.21333333332</v>
      </c>
      <c r="J22" s="261">
        <f t="shared" si="7"/>
        <v>294051.21333333332</v>
      </c>
    </row>
    <row r="23" spans="1:10" x14ac:dyDescent="0.25">
      <c r="A23" s="240">
        <v>18</v>
      </c>
      <c r="B23" s="246" t="s">
        <v>213</v>
      </c>
      <c r="C23" s="303">
        <v>0</v>
      </c>
      <c r="D23" s="303"/>
      <c r="E23" s="303"/>
      <c r="G23" t="s">
        <v>287</v>
      </c>
      <c r="H23" s="261">
        <f>H21-H22</f>
        <v>-20848.965555555536</v>
      </c>
      <c r="I23" s="261">
        <f t="shared" ref="I23:J23" si="8">I21-I22</f>
        <v>27888.786666666681</v>
      </c>
      <c r="J23" s="261">
        <f t="shared" si="8"/>
        <v>81948.786666666681</v>
      </c>
    </row>
    <row r="24" spans="1:10" ht="29.25" x14ac:dyDescent="0.25">
      <c r="A24" s="240">
        <v>19</v>
      </c>
      <c r="B24" s="243" t="s">
        <v>214</v>
      </c>
      <c r="C24" s="303">
        <f>C22-C23</f>
        <v>0</v>
      </c>
      <c r="D24" s="303">
        <f t="shared" ref="D24:E24" si="9">D22-D23</f>
        <v>0</v>
      </c>
      <c r="E24" s="303">
        <f t="shared" si="9"/>
        <v>0</v>
      </c>
    </row>
    <row r="25" spans="1:10" x14ac:dyDescent="0.25">
      <c r="A25" s="240">
        <v>20</v>
      </c>
      <c r="B25" s="247" t="s">
        <v>215</v>
      </c>
      <c r="C25" s="259">
        <f>C22+C7</f>
        <v>210000</v>
      </c>
      <c r="D25" s="259">
        <f t="shared" ref="D25:E25" si="10">D22+D7</f>
        <v>302000</v>
      </c>
      <c r="E25" s="259">
        <f t="shared" si="10"/>
        <v>376000</v>
      </c>
      <c r="H25" t="s">
        <v>288</v>
      </c>
      <c r="I25" t="s">
        <v>289</v>
      </c>
      <c r="J25" t="s">
        <v>290</v>
      </c>
    </row>
    <row r="26" spans="1:10" x14ac:dyDescent="0.25">
      <c r="A26" s="240">
        <v>21</v>
      </c>
      <c r="B26" s="247" t="s">
        <v>216</v>
      </c>
      <c r="C26" s="259">
        <f>C18+C23</f>
        <v>230848.96555555554</v>
      </c>
      <c r="D26" s="259">
        <f t="shared" ref="D26:E26" si="11">D18+D23</f>
        <v>274111.21333333332</v>
      </c>
      <c r="E26" s="259">
        <f t="shared" si="11"/>
        <v>294051.21333333332</v>
      </c>
      <c r="G26" t="s">
        <v>291</v>
      </c>
      <c r="H26" s="262">
        <f>H23/H21</f>
        <v>-9.9280788359788263E-2</v>
      </c>
      <c r="I26" s="262">
        <f t="shared" ref="I26:J26" si="12">I23/I21</f>
        <v>9.2346975717439342E-2</v>
      </c>
      <c r="J26" s="262">
        <f t="shared" si="12"/>
        <v>0.21794890070921991</v>
      </c>
    </row>
    <row r="27" spans="1:10" x14ac:dyDescent="0.25">
      <c r="A27" s="240">
        <v>22</v>
      </c>
      <c r="B27" s="247" t="s">
        <v>217</v>
      </c>
      <c r="C27" s="303"/>
      <c r="D27" s="303"/>
      <c r="E27" s="303"/>
    </row>
    <row r="28" spans="1:10" x14ac:dyDescent="0.25">
      <c r="A28" s="240">
        <v>23</v>
      </c>
      <c r="B28" s="248" t="s">
        <v>218</v>
      </c>
      <c r="C28" s="304">
        <f>C25-C26</f>
        <v>-20848.965555555536</v>
      </c>
      <c r="D28" s="304">
        <f t="shared" ref="D28:E28" si="13">D25-D26</f>
        <v>27888.786666666681</v>
      </c>
      <c r="E28" s="304">
        <f t="shared" si="13"/>
        <v>81948.786666666681</v>
      </c>
    </row>
    <row r="29" spans="1:10" ht="15.75" thickBot="1" x14ac:dyDescent="0.3">
      <c r="A29" s="249">
        <v>24</v>
      </c>
      <c r="B29" s="250" t="s">
        <v>219</v>
      </c>
      <c r="C29" s="251"/>
      <c r="D29" s="251"/>
      <c r="E29" s="251"/>
    </row>
    <row r="32" spans="1:10" ht="37.5" x14ac:dyDescent="0.3">
      <c r="B32" s="252" t="s">
        <v>73</v>
      </c>
      <c r="C32" s="253"/>
    </row>
    <row r="33" spans="2:3" ht="37.5" x14ac:dyDescent="0.3">
      <c r="B33" s="254" t="s">
        <v>220</v>
      </c>
      <c r="C33" s="255"/>
    </row>
    <row r="34" spans="2:3" ht="37.5" x14ac:dyDescent="0.3">
      <c r="B34" s="254" t="s">
        <v>221</v>
      </c>
      <c r="C34" s="255"/>
    </row>
  </sheetData>
  <mergeCells count="1">
    <mergeCell ref="A2:E2"/>
  </mergeCells>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J77"/>
  <sheetViews>
    <sheetView zoomScale="90" zoomScaleNormal="90" workbookViewId="0">
      <selection activeCell="I4" sqref="I4"/>
    </sheetView>
  </sheetViews>
  <sheetFormatPr baseColWidth="10" defaultColWidth="8.7109375" defaultRowHeight="26.1" customHeight="1" outlineLevelCol="1" x14ac:dyDescent="0.3"/>
  <cols>
    <col min="1" max="2" width="8.7109375" style="7"/>
    <col min="3" max="3" width="53.5703125" style="7" customWidth="1"/>
    <col min="4" max="4" width="0" style="7" hidden="1" customWidth="1" outlineLevel="1"/>
    <col min="5" max="5" width="14.140625" style="7" hidden="1" customWidth="1" outlineLevel="1"/>
    <col min="6" max="6" width="17.140625" style="7" customWidth="1" collapsed="1"/>
    <col min="7" max="7" width="20.5703125" style="7" customWidth="1"/>
    <col min="8" max="8" width="21.42578125" style="7" customWidth="1"/>
    <col min="9" max="9" width="36.42578125" style="7" customWidth="1"/>
    <col min="10" max="16384" width="8.7109375" style="7"/>
  </cols>
  <sheetData>
    <row r="1" spans="2:9" ht="26.1" customHeight="1" thickBot="1" x14ac:dyDescent="0.35"/>
    <row r="2" spans="2:9" ht="29.45" customHeight="1" thickBot="1" x14ac:dyDescent="0.35">
      <c r="B2" s="358" t="s">
        <v>313</v>
      </c>
      <c r="C2" s="359" t="s">
        <v>314</v>
      </c>
      <c r="D2" s="359" t="s">
        <v>315</v>
      </c>
      <c r="E2" s="359" t="s">
        <v>400</v>
      </c>
      <c r="F2" s="359" t="s">
        <v>316</v>
      </c>
      <c r="G2" s="360" t="s">
        <v>317</v>
      </c>
      <c r="H2" s="360" t="s">
        <v>318</v>
      </c>
      <c r="I2" s="211"/>
    </row>
    <row r="3" spans="2:9" ht="26.1" customHeight="1" thickBot="1" x14ac:dyDescent="0.35">
      <c r="B3" s="395" t="s">
        <v>319</v>
      </c>
      <c r="C3" s="396"/>
      <c r="D3" s="396"/>
      <c r="E3" s="396"/>
      <c r="F3" s="397"/>
      <c r="G3" s="361"/>
      <c r="H3" s="361"/>
      <c r="I3" s="211"/>
    </row>
    <row r="4" spans="2:9" ht="26.1" customHeight="1" thickBot="1" x14ac:dyDescent="0.35">
      <c r="B4" s="362">
        <v>1.1000000000000001</v>
      </c>
      <c r="C4" s="363" t="s">
        <v>320</v>
      </c>
      <c r="D4" s="363"/>
      <c r="E4" s="363"/>
      <c r="F4" s="364">
        <f>'an 1'!P6</f>
        <v>39298</v>
      </c>
      <c r="G4" s="363"/>
      <c r="H4" s="363"/>
      <c r="I4" s="211" t="s">
        <v>321</v>
      </c>
    </row>
    <row r="5" spans="2:9" ht="30" customHeight="1" thickBot="1" x14ac:dyDescent="0.35">
      <c r="B5" s="362">
        <v>1.2</v>
      </c>
      <c r="C5" s="363" t="s">
        <v>322</v>
      </c>
      <c r="D5" s="363"/>
      <c r="E5" s="363"/>
      <c r="F5" s="364">
        <f>'an 1'!P12</f>
        <v>0</v>
      </c>
      <c r="G5" s="363"/>
      <c r="H5" s="363"/>
      <c r="I5" s="211"/>
    </row>
    <row r="6" spans="2:9" ht="44.45" customHeight="1" thickBot="1" x14ac:dyDescent="0.35">
      <c r="B6" s="362">
        <v>1.3</v>
      </c>
      <c r="C6" s="363" t="s">
        <v>323</v>
      </c>
      <c r="D6" s="363"/>
      <c r="E6" s="363"/>
      <c r="F6" s="364">
        <f>'an 1'!P15</f>
        <v>28732</v>
      </c>
      <c r="G6" s="363"/>
      <c r="H6" s="363"/>
      <c r="I6" s="211"/>
    </row>
    <row r="7" spans="2:9" ht="26.1" customHeight="1" thickBot="1" x14ac:dyDescent="0.35">
      <c r="B7" s="356"/>
      <c r="C7" s="365" t="s">
        <v>324</v>
      </c>
      <c r="D7" s="366"/>
      <c r="E7" s="366"/>
      <c r="F7" s="367">
        <f>F4+F5+F6</f>
        <v>68030</v>
      </c>
      <c r="G7" s="367">
        <f t="shared" ref="G7:H7" si="0">G4+G5+G6</f>
        <v>0</v>
      </c>
      <c r="H7" s="367">
        <f t="shared" si="0"/>
        <v>0</v>
      </c>
      <c r="I7" s="313"/>
    </row>
    <row r="8" spans="2:9" ht="26.1" customHeight="1" thickBot="1" x14ac:dyDescent="0.35">
      <c r="B8" s="395" t="s">
        <v>325</v>
      </c>
      <c r="C8" s="396"/>
      <c r="D8" s="396"/>
      <c r="E8" s="396"/>
      <c r="F8" s="397"/>
      <c r="G8" s="368"/>
      <c r="H8" s="368"/>
      <c r="I8" s="211"/>
    </row>
    <row r="9" spans="2:9" ht="26.1" customHeight="1" thickBot="1" x14ac:dyDescent="0.35">
      <c r="B9" s="362">
        <v>2.1</v>
      </c>
      <c r="C9" s="363" t="s">
        <v>326</v>
      </c>
      <c r="D9" s="363"/>
      <c r="E9" s="363"/>
      <c r="F9" s="363"/>
      <c r="G9" s="363"/>
      <c r="H9" s="363"/>
      <c r="I9" s="211"/>
    </row>
    <row r="10" spans="2:9" ht="26.1" customHeight="1" thickBot="1" x14ac:dyDescent="0.35">
      <c r="B10" s="362">
        <v>2.2000000000000002</v>
      </c>
      <c r="C10" s="363" t="s">
        <v>327</v>
      </c>
      <c r="D10" s="363"/>
      <c r="E10" s="363"/>
      <c r="F10" s="363"/>
      <c r="G10" s="363"/>
      <c r="H10" s="363"/>
      <c r="I10" s="211"/>
    </row>
    <row r="11" spans="2:9" ht="57" customHeight="1" thickBot="1" x14ac:dyDescent="0.35">
      <c r="B11" s="362">
        <v>2.2999999999999998</v>
      </c>
      <c r="C11" s="363" t="s">
        <v>328</v>
      </c>
      <c r="D11" s="363"/>
      <c r="E11" s="363"/>
      <c r="F11" s="364">
        <f>'an 1'!P31</f>
        <v>4000</v>
      </c>
      <c r="G11" s="363"/>
      <c r="H11" s="363"/>
      <c r="I11" s="211"/>
    </row>
    <row r="12" spans="2:9" ht="28.5" customHeight="1" thickBot="1" x14ac:dyDescent="0.35">
      <c r="B12" s="362">
        <v>2.4</v>
      </c>
      <c r="C12" s="363" t="s">
        <v>329</v>
      </c>
      <c r="D12" s="363"/>
      <c r="E12" s="363"/>
      <c r="F12" s="364"/>
      <c r="G12" s="363"/>
      <c r="H12" s="363"/>
      <c r="I12" s="211"/>
    </row>
    <row r="13" spans="2:9" ht="26.1" customHeight="1" thickBot="1" x14ac:dyDescent="0.35">
      <c r="B13" s="356"/>
      <c r="C13" s="365" t="s">
        <v>330</v>
      </c>
      <c r="D13" s="366"/>
      <c r="E13" s="366"/>
      <c r="F13" s="367">
        <f>F9+F10+F11+F12</f>
        <v>4000</v>
      </c>
      <c r="G13" s="367">
        <f t="shared" ref="G13:H13" si="1">G9+G10+G11+G12</f>
        <v>0</v>
      </c>
      <c r="H13" s="367">
        <f t="shared" si="1"/>
        <v>0</v>
      </c>
      <c r="I13" s="313"/>
    </row>
    <row r="14" spans="2:9" ht="35.450000000000003" customHeight="1" thickBot="1" x14ac:dyDescent="0.35">
      <c r="B14" s="395" t="s">
        <v>331</v>
      </c>
      <c r="C14" s="396"/>
      <c r="D14" s="396"/>
      <c r="E14" s="396"/>
      <c r="F14" s="397"/>
      <c r="G14" s="368"/>
      <c r="H14" s="368"/>
      <c r="I14" s="211"/>
    </row>
    <row r="15" spans="2:9" ht="26.1" customHeight="1" thickBot="1" x14ac:dyDescent="0.35">
      <c r="B15" s="362" t="s">
        <v>332</v>
      </c>
      <c r="C15" s="363" t="s">
        <v>333</v>
      </c>
      <c r="D15" s="364">
        <v>1</v>
      </c>
      <c r="E15" s="364"/>
      <c r="F15" s="364">
        <f>'an 1'!P39</f>
        <v>1000</v>
      </c>
      <c r="G15" s="363"/>
      <c r="H15" s="363"/>
      <c r="I15" s="211"/>
    </row>
    <row r="16" spans="2:9" ht="30" customHeight="1" thickBot="1" x14ac:dyDescent="0.35">
      <c r="B16" s="362" t="s">
        <v>334</v>
      </c>
      <c r="C16" s="363" t="s">
        <v>335</v>
      </c>
      <c r="D16" s="364">
        <v>1</v>
      </c>
      <c r="E16" s="364"/>
      <c r="F16" s="364"/>
      <c r="G16" s="363"/>
      <c r="H16" s="363"/>
      <c r="I16" s="211"/>
    </row>
    <row r="17" spans="2:10" ht="26.1" customHeight="1" thickBot="1" x14ac:dyDescent="0.35">
      <c r="B17" s="362" t="s">
        <v>336</v>
      </c>
      <c r="C17" s="363" t="s">
        <v>337</v>
      </c>
      <c r="D17" s="364">
        <v>1</v>
      </c>
      <c r="E17" s="364"/>
      <c r="F17" s="364">
        <f>'an 1'!P40</f>
        <v>4000</v>
      </c>
      <c r="G17" s="363"/>
      <c r="H17" s="363"/>
      <c r="I17" s="211"/>
    </row>
    <row r="18" spans="2:10" ht="26.1" customHeight="1" thickBot="1" x14ac:dyDescent="0.35">
      <c r="B18" s="362" t="s">
        <v>338</v>
      </c>
      <c r="C18" s="363" t="s">
        <v>339</v>
      </c>
      <c r="D18" s="364">
        <v>1</v>
      </c>
      <c r="E18" s="364"/>
      <c r="F18" s="364">
        <f>'an 1'!P38</f>
        <v>3600</v>
      </c>
      <c r="G18" s="363"/>
      <c r="H18" s="363"/>
      <c r="I18" s="211"/>
    </row>
    <row r="19" spans="2:10" ht="26.1" customHeight="1" thickBot="1" x14ac:dyDescent="0.35">
      <c r="B19" s="350"/>
      <c r="C19" s="365" t="s">
        <v>340</v>
      </c>
      <c r="D19" s="370">
        <v>4</v>
      </c>
      <c r="E19" s="370"/>
      <c r="F19" s="370">
        <f>F15+F16+F17+F18</f>
        <v>8600</v>
      </c>
      <c r="G19" s="370">
        <f t="shared" ref="G19:H19" si="2">G15+G16+G17+G18</f>
        <v>0</v>
      </c>
      <c r="H19" s="370">
        <f t="shared" si="2"/>
        <v>0</v>
      </c>
      <c r="I19" s="313"/>
      <c r="J19" s="312"/>
    </row>
    <row r="20" spans="2:10" ht="38.450000000000003" customHeight="1" thickBot="1" x14ac:dyDescent="0.35">
      <c r="B20" s="392" t="s">
        <v>341</v>
      </c>
      <c r="C20" s="393"/>
      <c r="D20" s="393"/>
      <c r="E20" s="393"/>
      <c r="F20" s="393"/>
      <c r="G20" s="393"/>
      <c r="H20" s="394"/>
      <c r="I20" s="211"/>
    </row>
    <row r="21" spans="2:10" ht="26.1" customHeight="1" thickBot="1" x14ac:dyDescent="0.35">
      <c r="B21" s="362" t="s">
        <v>342</v>
      </c>
      <c r="C21" s="363" t="s">
        <v>455</v>
      </c>
      <c r="D21" s="363">
        <v>7</v>
      </c>
      <c r="E21" s="363"/>
      <c r="F21" s="364">
        <f>'an 1'!P44+'an 1'!P45</f>
        <v>122854</v>
      </c>
      <c r="G21" s="371"/>
      <c r="H21" s="363"/>
      <c r="I21" s="211" t="s">
        <v>343</v>
      </c>
    </row>
    <row r="22" spans="2:10" ht="26.1" customHeight="1" thickBot="1" x14ac:dyDescent="0.35">
      <c r="B22" s="362" t="s">
        <v>344</v>
      </c>
      <c r="C22" s="363" t="s">
        <v>456</v>
      </c>
      <c r="D22" s="363"/>
      <c r="E22" s="363"/>
      <c r="F22" s="364">
        <f>'an 1'!P46</f>
        <v>4000</v>
      </c>
      <c r="G22" s="371"/>
      <c r="H22" s="363"/>
      <c r="I22" s="211"/>
    </row>
    <row r="23" spans="2:10" ht="26.1" customHeight="1" thickBot="1" x14ac:dyDescent="0.35">
      <c r="B23" s="362" t="s">
        <v>345</v>
      </c>
      <c r="C23" s="363" t="s">
        <v>457</v>
      </c>
      <c r="D23" s="363"/>
      <c r="E23" s="363"/>
      <c r="F23" s="364">
        <v>0</v>
      </c>
      <c r="G23" s="371"/>
      <c r="H23" s="363"/>
      <c r="I23" s="211"/>
    </row>
    <row r="24" spans="2:10" ht="26.1" customHeight="1" thickBot="1" x14ac:dyDescent="0.35">
      <c r="B24" s="362" t="s">
        <v>346</v>
      </c>
      <c r="C24" s="363" t="s">
        <v>458</v>
      </c>
      <c r="D24" s="363"/>
      <c r="E24" s="363"/>
      <c r="F24" s="364">
        <v>0</v>
      </c>
      <c r="G24" s="371"/>
      <c r="H24" s="363"/>
      <c r="I24" s="211"/>
    </row>
    <row r="25" spans="2:10" ht="26.1" customHeight="1" thickBot="1" x14ac:dyDescent="0.35">
      <c r="B25" s="362" t="s">
        <v>347</v>
      </c>
      <c r="C25" s="363" t="s">
        <v>459</v>
      </c>
      <c r="D25" s="363"/>
      <c r="E25" s="363"/>
      <c r="F25" s="364">
        <f>'an 1'!P49</f>
        <v>6700</v>
      </c>
      <c r="G25" s="371"/>
      <c r="H25" s="363"/>
      <c r="I25" s="211"/>
    </row>
    <row r="26" spans="2:10" ht="26.1" customHeight="1" thickBot="1" x14ac:dyDescent="0.35">
      <c r="B26" s="362" t="s">
        <v>348</v>
      </c>
      <c r="C26" s="363" t="s">
        <v>460</v>
      </c>
      <c r="D26" s="363"/>
      <c r="E26" s="363"/>
      <c r="F26" s="364">
        <v>0</v>
      </c>
      <c r="G26" s="371"/>
      <c r="H26" s="363"/>
      <c r="I26" s="311">
        <v>28000</v>
      </c>
      <c r="J26" s="15">
        <v>7000</v>
      </c>
    </row>
    <row r="27" spans="2:10" ht="26.1" customHeight="1" thickBot="1" x14ac:dyDescent="0.35">
      <c r="B27" s="362" t="s">
        <v>349</v>
      </c>
      <c r="C27" s="363" t="s">
        <v>453</v>
      </c>
      <c r="D27" s="363"/>
      <c r="E27" s="363"/>
      <c r="F27" s="364">
        <f>'an 1'!P47</f>
        <v>28500</v>
      </c>
      <c r="G27" s="372"/>
      <c r="H27" s="372"/>
      <c r="I27" s="211"/>
    </row>
    <row r="28" spans="2:10" ht="26.1" customHeight="1" thickBot="1" x14ac:dyDescent="0.35">
      <c r="B28" s="362" t="s">
        <v>350</v>
      </c>
      <c r="C28" s="363" t="s">
        <v>454</v>
      </c>
      <c r="D28" s="363"/>
      <c r="E28" s="363"/>
      <c r="F28" s="364">
        <f>'an 1'!P49</f>
        <v>6700</v>
      </c>
      <c r="G28" s="363"/>
      <c r="H28" s="363"/>
      <c r="I28" s="211"/>
    </row>
    <row r="29" spans="2:10" ht="66.599999999999994" customHeight="1" thickBot="1" x14ac:dyDescent="0.35">
      <c r="B29" s="357">
        <v>4</v>
      </c>
      <c r="C29" s="365" t="s">
        <v>351</v>
      </c>
      <c r="D29" s="366"/>
      <c r="E29" s="366"/>
      <c r="F29" s="373">
        <f>SUM(F21:F28)</f>
        <v>168754</v>
      </c>
      <c r="G29" s="373">
        <f t="shared" ref="G29:H29" si="3">SUM(G21:G28)</f>
        <v>0</v>
      </c>
      <c r="H29" s="373">
        <f t="shared" si="3"/>
        <v>0</v>
      </c>
      <c r="I29" s="313"/>
      <c r="J29" s="312"/>
    </row>
    <row r="30" spans="2:10" ht="37.5" customHeight="1" thickBot="1" x14ac:dyDescent="0.35">
      <c r="B30" s="392" t="s">
        <v>352</v>
      </c>
      <c r="C30" s="393"/>
      <c r="D30" s="393"/>
      <c r="E30" s="393"/>
      <c r="F30" s="393"/>
      <c r="G30" s="393"/>
      <c r="H30" s="394"/>
      <c r="I30" s="211"/>
    </row>
    <row r="31" spans="2:10" ht="26.1" customHeight="1" thickBot="1" x14ac:dyDescent="0.35">
      <c r="B31" s="362" t="s">
        <v>353</v>
      </c>
      <c r="C31" s="368" t="s">
        <v>463</v>
      </c>
      <c r="D31" s="374">
        <v>1750</v>
      </c>
      <c r="E31" s="375"/>
      <c r="F31" s="375">
        <f>'an 1'!P52+'an 1'!P53</f>
        <v>10505</v>
      </c>
      <c r="G31" s="376"/>
      <c r="H31" s="376"/>
      <c r="I31" s="310"/>
    </row>
    <row r="32" spans="2:10" ht="54.95" customHeight="1" thickBot="1" x14ac:dyDescent="0.35">
      <c r="B32" s="377"/>
      <c r="C32" s="370" t="s">
        <v>354</v>
      </c>
      <c r="D32" s="370"/>
      <c r="E32" s="370"/>
      <c r="F32" s="367">
        <f>F31</f>
        <v>10505</v>
      </c>
      <c r="G32" s="367">
        <f t="shared" ref="G32:H32" si="4">G31</f>
        <v>0</v>
      </c>
      <c r="H32" s="367">
        <f t="shared" si="4"/>
        <v>0</v>
      </c>
      <c r="I32" s="314"/>
      <c r="J32" s="175"/>
    </row>
    <row r="33" spans="2:9" ht="42" customHeight="1" thickBot="1" x14ac:dyDescent="0.35">
      <c r="B33" s="392" t="s">
        <v>355</v>
      </c>
      <c r="C33" s="393"/>
      <c r="D33" s="393"/>
      <c r="E33" s="393"/>
      <c r="F33" s="393"/>
      <c r="G33" s="393"/>
      <c r="H33" s="394"/>
      <c r="I33" s="386"/>
    </row>
    <row r="34" spans="2:9" ht="26.1" customHeight="1" thickBot="1" x14ac:dyDescent="0.35">
      <c r="B34" s="362" t="s">
        <v>356</v>
      </c>
      <c r="C34" s="363" t="s">
        <v>461</v>
      </c>
      <c r="D34" s="363"/>
      <c r="E34" s="363"/>
      <c r="F34" s="363"/>
      <c r="G34" s="363"/>
      <c r="H34" s="363"/>
      <c r="I34" s="211"/>
    </row>
    <row r="35" spans="2:9" ht="26.1" customHeight="1" thickBot="1" x14ac:dyDescent="0.35">
      <c r="B35" s="362" t="s">
        <v>357</v>
      </c>
      <c r="C35" s="363" t="s">
        <v>461</v>
      </c>
      <c r="D35" s="363"/>
      <c r="E35" s="363"/>
      <c r="F35" s="363"/>
      <c r="G35" s="363"/>
      <c r="H35" s="363"/>
      <c r="I35" s="211"/>
    </row>
    <row r="36" spans="2:9" ht="63.6" customHeight="1" thickBot="1" x14ac:dyDescent="0.35">
      <c r="B36" s="356"/>
      <c r="C36" s="365" t="s">
        <v>358</v>
      </c>
      <c r="D36" s="366"/>
      <c r="E36" s="366"/>
      <c r="F36" s="366">
        <f>F34+F35</f>
        <v>0</v>
      </c>
      <c r="G36" s="366">
        <f t="shared" ref="G36:H36" si="5">G34+G35</f>
        <v>0</v>
      </c>
      <c r="H36" s="366">
        <f t="shared" si="5"/>
        <v>0</v>
      </c>
      <c r="I36" s="313"/>
    </row>
    <row r="37" spans="2:9" ht="26.1" customHeight="1" thickBot="1" x14ac:dyDescent="0.35">
      <c r="B37" s="395" t="s">
        <v>359</v>
      </c>
      <c r="C37" s="396"/>
      <c r="D37" s="396"/>
      <c r="E37" s="396"/>
      <c r="F37" s="397"/>
      <c r="G37" s="378"/>
      <c r="H37" s="378"/>
      <c r="I37" s="211"/>
    </row>
    <row r="38" spans="2:9" ht="26.1" customHeight="1" thickBot="1" x14ac:dyDescent="0.35">
      <c r="B38" s="362" t="s">
        <v>360</v>
      </c>
      <c r="C38" s="363" t="s">
        <v>361</v>
      </c>
      <c r="D38" s="374"/>
      <c r="E38" s="375"/>
      <c r="F38" s="379">
        <v>3600</v>
      </c>
      <c r="G38" s="380"/>
      <c r="H38" s="380"/>
      <c r="I38" s="310"/>
    </row>
    <row r="39" spans="2:9" ht="26.1" customHeight="1" thickBot="1" x14ac:dyDescent="0.35">
      <c r="B39" s="362" t="s">
        <v>362</v>
      </c>
      <c r="C39" s="363" t="s">
        <v>461</v>
      </c>
      <c r="D39" s="363"/>
      <c r="E39" s="381"/>
      <c r="F39" s="381"/>
      <c r="G39" s="380"/>
      <c r="H39" s="380"/>
      <c r="I39" s="211"/>
    </row>
    <row r="40" spans="2:9" ht="26.1" customHeight="1" thickBot="1" x14ac:dyDescent="0.35">
      <c r="B40" s="382"/>
      <c r="C40" s="383" t="s">
        <v>363</v>
      </c>
      <c r="D40" s="384"/>
      <c r="E40" s="384"/>
      <c r="F40" s="384">
        <f>F38+F39</f>
        <v>3600</v>
      </c>
      <c r="G40" s="384">
        <f t="shared" ref="G40:H40" si="6">G38+G39</f>
        <v>0</v>
      </c>
      <c r="H40" s="384">
        <f t="shared" si="6"/>
        <v>0</v>
      </c>
      <c r="I40" s="315"/>
    </row>
    <row r="41" spans="2:9" ht="26.1" customHeight="1" thickBot="1" x14ac:dyDescent="0.35">
      <c r="B41" s="395" t="s">
        <v>364</v>
      </c>
      <c r="C41" s="396"/>
      <c r="D41" s="396"/>
      <c r="E41" s="396"/>
      <c r="F41" s="397"/>
      <c r="G41" s="368"/>
      <c r="H41" s="368"/>
      <c r="I41" s="211"/>
    </row>
    <row r="42" spans="2:9" ht="26.1" customHeight="1" thickBot="1" x14ac:dyDescent="0.35">
      <c r="B42" s="362" t="s">
        <v>365</v>
      </c>
      <c r="C42" s="363" t="s">
        <v>461</v>
      </c>
      <c r="D42" s="363"/>
      <c r="E42" s="363"/>
      <c r="F42" s="363"/>
      <c r="G42" s="363"/>
      <c r="H42" s="363"/>
      <c r="I42" s="211"/>
    </row>
    <row r="43" spans="2:9" ht="26.1" customHeight="1" thickBot="1" x14ac:dyDescent="0.35">
      <c r="B43" s="362" t="s">
        <v>366</v>
      </c>
      <c r="C43" s="363" t="s">
        <v>461</v>
      </c>
      <c r="D43" s="363"/>
      <c r="E43" s="363"/>
      <c r="F43" s="363"/>
      <c r="G43" s="363"/>
      <c r="H43" s="363"/>
      <c r="I43" s="211"/>
    </row>
    <row r="44" spans="2:9" ht="26.1" customHeight="1" thickBot="1" x14ac:dyDescent="0.35">
      <c r="B44" s="356"/>
      <c r="C44" s="365" t="s">
        <v>367</v>
      </c>
      <c r="D44" s="366"/>
      <c r="E44" s="366"/>
      <c r="F44" s="366">
        <f>F42+F43</f>
        <v>0</v>
      </c>
      <c r="G44" s="366">
        <f t="shared" ref="G44:H44" si="7">G42+G43</f>
        <v>0</v>
      </c>
      <c r="H44" s="366">
        <f t="shared" si="7"/>
        <v>0</v>
      </c>
      <c r="I44" s="313"/>
    </row>
    <row r="45" spans="2:9" ht="26.1" customHeight="1" thickBot="1" x14ac:dyDescent="0.35">
      <c r="B45" s="395" t="s">
        <v>368</v>
      </c>
      <c r="C45" s="396"/>
      <c r="D45" s="396"/>
      <c r="E45" s="396"/>
      <c r="F45" s="397"/>
      <c r="G45" s="368"/>
      <c r="H45" s="368"/>
      <c r="I45" s="211"/>
    </row>
    <row r="46" spans="2:9" ht="26.1" customHeight="1" thickBot="1" x14ac:dyDescent="0.35">
      <c r="B46" s="362" t="s">
        <v>369</v>
      </c>
      <c r="C46" s="363" t="s">
        <v>461</v>
      </c>
      <c r="D46" s="374"/>
      <c r="E46" s="374"/>
      <c r="F46" s="374"/>
      <c r="G46" s="363"/>
      <c r="H46" s="363"/>
      <c r="I46" s="211"/>
    </row>
    <row r="47" spans="2:9" ht="26.1" customHeight="1" thickBot="1" x14ac:dyDescent="0.35">
      <c r="B47" s="362" t="s">
        <v>370</v>
      </c>
      <c r="C47" s="363" t="s">
        <v>461</v>
      </c>
      <c r="D47" s="363"/>
      <c r="E47" s="363"/>
      <c r="F47" s="363"/>
      <c r="G47" s="363"/>
      <c r="H47" s="363"/>
      <c r="I47" s="211"/>
    </row>
    <row r="48" spans="2:9" ht="26.1" customHeight="1" thickBot="1" x14ac:dyDescent="0.35">
      <c r="B48" s="356"/>
      <c r="C48" s="365" t="s">
        <v>371</v>
      </c>
      <c r="D48" s="366"/>
      <c r="E48" s="366"/>
      <c r="F48" s="366">
        <v>0</v>
      </c>
      <c r="G48" s="366">
        <v>0</v>
      </c>
      <c r="H48" s="366">
        <v>0</v>
      </c>
      <c r="I48" s="313"/>
    </row>
    <row r="49" spans="2:9" ht="26.1" customHeight="1" thickBot="1" x14ac:dyDescent="0.35">
      <c r="B49" s="395" t="s">
        <v>372</v>
      </c>
      <c r="C49" s="396"/>
      <c r="D49" s="396"/>
      <c r="E49" s="396"/>
      <c r="F49" s="397"/>
      <c r="G49" s="368"/>
      <c r="H49" s="368"/>
      <c r="I49" s="211"/>
    </row>
    <row r="50" spans="2:9" ht="26.1" customHeight="1" thickBot="1" x14ac:dyDescent="0.35">
      <c r="B50" s="362" t="s">
        <v>373</v>
      </c>
      <c r="C50" s="363" t="s">
        <v>462</v>
      </c>
      <c r="D50" s="363"/>
      <c r="E50" s="363"/>
      <c r="F50" s="363"/>
      <c r="G50" s="363"/>
      <c r="H50" s="363"/>
      <c r="I50" s="211"/>
    </row>
    <row r="51" spans="2:9" ht="26.1" customHeight="1" thickBot="1" x14ac:dyDescent="0.35">
      <c r="B51" s="362" t="s">
        <v>374</v>
      </c>
      <c r="C51" s="363" t="s">
        <v>462</v>
      </c>
      <c r="D51" s="363"/>
      <c r="E51" s="363"/>
      <c r="F51" s="363"/>
      <c r="G51" s="363"/>
      <c r="H51" s="363"/>
      <c r="I51" s="211"/>
    </row>
    <row r="52" spans="2:9" ht="26.1" customHeight="1" thickBot="1" x14ac:dyDescent="0.35">
      <c r="B52" s="356"/>
      <c r="C52" s="369" t="s">
        <v>375</v>
      </c>
      <c r="D52" s="366"/>
      <c r="E52" s="366"/>
      <c r="F52" s="366">
        <f>F50+F51</f>
        <v>0</v>
      </c>
      <c r="G52" s="366">
        <f t="shared" ref="G52:H52" si="8">G50+G51</f>
        <v>0</v>
      </c>
      <c r="H52" s="366">
        <f t="shared" si="8"/>
        <v>0</v>
      </c>
      <c r="I52" s="313"/>
    </row>
    <row r="53" spans="2:9" ht="26.1" customHeight="1" thickBot="1" x14ac:dyDescent="0.35">
      <c r="B53" s="395" t="s">
        <v>376</v>
      </c>
      <c r="C53" s="396"/>
      <c r="D53" s="396"/>
      <c r="E53" s="396"/>
      <c r="F53" s="397"/>
      <c r="G53" s="368"/>
      <c r="H53" s="368"/>
      <c r="I53" s="211"/>
    </row>
    <row r="54" spans="2:9" ht="26.1" customHeight="1" thickBot="1" x14ac:dyDescent="0.35">
      <c r="B54" s="362" t="s">
        <v>377</v>
      </c>
      <c r="C54" s="363" t="s">
        <v>378</v>
      </c>
      <c r="D54" s="363"/>
      <c r="E54" s="363"/>
      <c r="F54" s="364">
        <f>'an 1'!P79</f>
        <v>22408.965555555555</v>
      </c>
      <c r="G54" s="363"/>
      <c r="H54" s="363"/>
      <c r="I54" s="211"/>
    </row>
    <row r="55" spans="2:9" ht="26.1" customHeight="1" thickBot="1" x14ac:dyDescent="0.35">
      <c r="B55" s="356"/>
      <c r="C55" s="365" t="s">
        <v>379</v>
      </c>
      <c r="D55" s="366"/>
      <c r="E55" s="366"/>
      <c r="F55" s="373">
        <f>F54</f>
        <v>22408.965555555555</v>
      </c>
      <c r="G55" s="373">
        <f t="shared" ref="G55:H55" si="9">G54</f>
        <v>0</v>
      </c>
      <c r="H55" s="373">
        <f t="shared" si="9"/>
        <v>0</v>
      </c>
      <c r="I55" s="313"/>
    </row>
    <row r="56" spans="2:9" ht="26.1" customHeight="1" thickBot="1" x14ac:dyDescent="0.35">
      <c r="B56" s="395" t="s">
        <v>380</v>
      </c>
      <c r="C56" s="396"/>
      <c r="D56" s="396"/>
      <c r="E56" s="396"/>
      <c r="F56" s="397"/>
      <c r="G56" s="368"/>
      <c r="H56" s="368"/>
      <c r="I56" s="211"/>
    </row>
    <row r="57" spans="2:9" ht="26.1" customHeight="1" thickBot="1" x14ac:dyDescent="0.35">
      <c r="B57" s="362" t="s">
        <v>381</v>
      </c>
      <c r="C57" s="363" t="s">
        <v>461</v>
      </c>
      <c r="D57" s="363"/>
      <c r="E57" s="363"/>
      <c r="F57" s="363"/>
      <c r="G57" s="363"/>
      <c r="H57" s="363"/>
      <c r="I57" s="211"/>
    </row>
    <row r="58" spans="2:9" ht="26.1" customHeight="1" thickBot="1" x14ac:dyDescent="0.35">
      <c r="B58" s="362" t="s">
        <v>382</v>
      </c>
      <c r="C58" s="363" t="s">
        <v>461</v>
      </c>
      <c r="D58" s="363"/>
      <c r="E58" s="363"/>
      <c r="F58" s="363"/>
      <c r="G58" s="363"/>
      <c r="H58" s="363"/>
      <c r="I58" s="211"/>
    </row>
    <row r="59" spans="2:9" ht="26.1" customHeight="1" thickBot="1" x14ac:dyDescent="0.35">
      <c r="B59" s="356"/>
      <c r="C59" s="365" t="s">
        <v>383</v>
      </c>
      <c r="D59" s="366"/>
      <c r="E59" s="366"/>
      <c r="F59" s="366">
        <f>F57+F58</f>
        <v>0</v>
      </c>
      <c r="G59" s="366">
        <f t="shared" ref="G59:H59" si="10">G57+G58</f>
        <v>0</v>
      </c>
      <c r="H59" s="366">
        <f t="shared" si="10"/>
        <v>0</v>
      </c>
      <c r="I59" s="313"/>
    </row>
    <row r="60" spans="2:9" ht="26.1" customHeight="1" thickBot="1" x14ac:dyDescent="0.35">
      <c r="B60" s="395" t="s">
        <v>384</v>
      </c>
      <c r="C60" s="396"/>
      <c r="D60" s="396"/>
      <c r="E60" s="396"/>
      <c r="F60" s="397"/>
      <c r="G60" s="368"/>
      <c r="H60" s="368"/>
      <c r="I60" s="211"/>
    </row>
    <row r="61" spans="2:9" ht="26.1" customHeight="1" thickBot="1" x14ac:dyDescent="0.35">
      <c r="B61" s="362" t="s">
        <v>385</v>
      </c>
      <c r="C61" s="363" t="s">
        <v>461</v>
      </c>
      <c r="D61" s="363"/>
      <c r="E61" s="363"/>
      <c r="F61" s="363"/>
      <c r="G61" s="363"/>
      <c r="H61" s="363"/>
      <c r="I61" s="211"/>
    </row>
    <row r="62" spans="2:9" ht="26.1" customHeight="1" thickBot="1" x14ac:dyDescent="0.35">
      <c r="B62" s="362" t="s">
        <v>386</v>
      </c>
      <c r="C62" s="363" t="s">
        <v>461</v>
      </c>
      <c r="D62" s="363"/>
      <c r="E62" s="363"/>
      <c r="F62" s="363"/>
      <c r="G62" s="363"/>
      <c r="H62" s="363"/>
      <c r="I62" s="211"/>
    </row>
    <row r="63" spans="2:9" ht="26.1" customHeight="1" thickBot="1" x14ac:dyDescent="0.35">
      <c r="B63" s="356"/>
      <c r="C63" s="365" t="s">
        <v>387</v>
      </c>
      <c r="D63" s="366"/>
      <c r="E63" s="366"/>
      <c r="F63" s="366">
        <f>F61+F62</f>
        <v>0</v>
      </c>
      <c r="G63" s="366">
        <f t="shared" ref="G63:H63" si="11">G61+G62</f>
        <v>0</v>
      </c>
      <c r="H63" s="366">
        <f t="shared" si="11"/>
        <v>0</v>
      </c>
      <c r="I63" s="313"/>
    </row>
    <row r="64" spans="2:9" ht="26.1" customHeight="1" thickBot="1" x14ac:dyDescent="0.35">
      <c r="B64" s="395" t="s">
        <v>388</v>
      </c>
      <c r="C64" s="396"/>
      <c r="D64" s="396"/>
      <c r="E64" s="396"/>
      <c r="F64" s="397"/>
      <c r="G64" s="368"/>
      <c r="H64" s="368"/>
      <c r="I64" s="211"/>
    </row>
    <row r="65" spans="2:9" ht="26.1" customHeight="1" thickBot="1" x14ac:dyDescent="0.35">
      <c r="B65" s="362" t="s">
        <v>389</v>
      </c>
      <c r="C65" s="363" t="s">
        <v>464</v>
      </c>
      <c r="D65" s="363"/>
      <c r="E65" s="363"/>
      <c r="F65" s="363">
        <f>'an 1'!P89</f>
        <v>3500</v>
      </c>
      <c r="G65" s="363"/>
      <c r="H65" s="363"/>
      <c r="I65" s="211"/>
    </row>
    <row r="66" spans="2:9" ht="26.1" customHeight="1" thickBot="1" x14ac:dyDescent="0.35">
      <c r="B66" s="362" t="s">
        <v>390</v>
      </c>
      <c r="C66" s="363" t="s">
        <v>461</v>
      </c>
      <c r="D66" s="363"/>
      <c r="E66" s="363"/>
      <c r="F66" s="363"/>
      <c r="G66" s="363"/>
      <c r="H66" s="363"/>
      <c r="I66" s="211"/>
    </row>
    <row r="67" spans="2:9" ht="26.1" customHeight="1" thickBot="1" x14ac:dyDescent="0.35">
      <c r="B67" s="356"/>
      <c r="C67" s="365" t="s">
        <v>391</v>
      </c>
      <c r="D67" s="366"/>
      <c r="E67" s="366"/>
      <c r="F67" s="366">
        <f>F65</f>
        <v>3500</v>
      </c>
      <c r="G67" s="366">
        <f t="shared" ref="G67:H67" si="12">G65</f>
        <v>0</v>
      </c>
      <c r="H67" s="366">
        <f t="shared" si="12"/>
        <v>0</v>
      </c>
      <c r="I67" s="313"/>
    </row>
    <row r="68" spans="2:9" ht="26.1" customHeight="1" thickBot="1" x14ac:dyDescent="0.35">
      <c r="B68" s="395" t="s">
        <v>392</v>
      </c>
      <c r="C68" s="396"/>
      <c r="D68" s="396"/>
      <c r="E68" s="396"/>
      <c r="F68" s="397"/>
      <c r="G68" s="368"/>
      <c r="H68" s="368"/>
      <c r="I68" s="211"/>
    </row>
    <row r="69" spans="2:9" ht="26.1" customHeight="1" thickBot="1" x14ac:dyDescent="0.35">
      <c r="B69" s="362">
        <v>15.1</v>
      </c>
      <c r="C69" s="363" t="s">
        <v>393</v>
      </c>
      <c r="D69" s="363"/>
      <c r="E69" s="363"/>
      <c r="F69" s="363"/>
      <c r="G69" s="363"/>
      <c r="H69" s="363"/>
      <c r="I69" s="211"/>
    </row>
    <row r="70" spans="2:9" ht="26.1" customHeight="1" thickBot="1" x14ac:dyDescent="0.35">
      <c r="B70" s="362">
        <v>15.2</v>
      </c>
      <c r="C70" s="363" t="s">
        <v>394</v>
      </c>
      <c r="D70" s="363"/>
      <c r="E70" s="363"/>
      <c r="F70" s="363"/>
      <c r="G70" s="363"/>
      <c r="H70" s="363"/>
      <c r="I70" s="211"/>
    </row>
    <row r="71" spans="2:9" ht="26.1" customHeight="1" thickBot="1" x14ac:dyDescent="0.35">
      <c r="B71" s="362">
        <v>15.3</v>
      </c>
      <c r="C71" s="363" t="s">
        <v>395</v>
      </c>
      <c r="D71" s="363"/>
      <c r="E71" s="363"/>
      <c r="F71" s="363"/>
      <c r="G71" s="363"/>
      <c r="H71" s="363"/>
      <c r="I71" s="211"/>
    </row>
    <row r="72" spans="2:9" ht="26.1" customHeight="1" thickBot="1" x14ac:dyDescent="0.35">
      <c r="B72" s="362">
        <v>15.4</v>
      </c>
      <c r="C72" s="363" t="s">
        <v>396</v>
      </c>
      <c r="D72" s="363"/>
      <c r="E72" s="363"/>
      <c r="F72" s="363"/>
      <c r="G72" s="363"/>
      <c r="H72" s="363"/>
      <c r="I72" s="211"/>
    </row>
    <row r="73" spans="2:9" ht="26.1" customHeight="1" thickBot="1" x14ac:dyDescent="0.35">
      <c r="B73" s="362">
        <v>15.5</v>
      </c>
      <c r="C73" s="363" t="s">
        <v>397</v>
      </c>
      <c r="D73" s="363"/>
      <c r="E73" s="363"/>
      <c r="F73" s="363">
        <v>0</v>
      </c>
      <c r="G73" s="363"/>
      <c r="H73" s="363"/>
      <c r="I73" s="211"/>
    </row>
    <row r="74" spans="2:9" ht="26.1" customHeight="1" thickBot="1" x14ac:dyDescent="0.35">
      <c r="B74" s="356"/>
      <c r="C74" s="365" t="s">
        <v>398</v>
      </c>
      <c r="D74" s="366"/>
      <c r="E74" s="366"/>
      <c r="F74" s="366">
        <f>SUM(F69:F73)</f>
        <v>0</v>
      </c>
      <c r="G74" s="366">
        <f t="shared" ref="G74:H74" si="13">SUM(G69:G73)</f>
        <v>0</v>
      </c>
      <c r="H74" s="366">
        <f t="shared" si="13"/>
        <v>0</v>
      </c>
      <c r="I74" s="313"/>
    </row>
    <row r="75" spans="2:9" ht="26.1" customHeight="1" thickBot="1" x14ac:dyDescent="0.35">
      <c r="B75" s="350"/>
      <c r="C75" s="398" t="s">
        <v>399</v>
      </c>
      <c r="D75" s="399"/>
      <c r="E75" s="385"/>
      <c r="F75" s="373">
        <f>F74+F67+F63+F59+F55+F52+F48+F44+F40+F36+F32+F29+F19+F13+F7</f>
        <v>289397.96555555554</v>
      </c>
      <c r="G75" s="373">
        <f t="shared" ref="G75:H75" si="14">G74+G67+G63+G59+G55+G52+G48+G44+G40+G36+G32+G29+G19+G13+G7</f>
        <v>0</v>
      </c>
      <c r="H75" s="373">
        <f t="shared" si="14"/>
        <v>0</v>
      </c>
      <c r="I75" s="313"/>
    </row>
    <row r="76" spans="2:9" ht="26.1" customHeight="1" x14ac:dyDescent="0.3">
      <c r="C76" s="7" t="s">
        <v>465</v>
      </c>
      <c r="F76" s="8">
        <f>G76+H76</f>
        <v>178340</v>
      </c>
      <c r="G76" s="7">
        <v>133755</v>
      </c>
      <c r="H76" s="8">
        <v>44585</v>
      </c>
    </row>
    <row r="77" spans="2:9" ht="26.1" customHeight="1" x14ac:dyDescent="0.3">
      <c r="F77" s="15"/>
    </row>
  </sheetData>
  <mergeCells count="16">
    <mergeCell ref="B3:F3"/>
    <mergeCell ref="B8:F8"/>
    <mergeCell ref="B14:F14"/>
    <mergeCell ref="B20:H20"/>
    <mergeCell ref="B30:H30"/>
    <mergeCell ref="B33:H33"/>
    <mergeCell ref="B60:F60"/>
    <mergeCell ref="B64:F64"/>
    <mergeCell ref="B68:F68"/>
    <mergeCell ref="C75:D75"/>
    <mergeCell ref="B37:F37"/>
    <mergeCell ref="B41:F41"/>
    <mergeCell ref="B45:F45"/>
    <mergeCell ref="B49:F49"/>
    <mergeCell ref="B53:F53"/>
    <mergeCell ref="B56:F56"/>
  </mergeCells>
  <pageMargins left="0.7" right="0.7" top="0.75" bottom="0.75" header="0.3" footer="0.3"/>
  <pageSetup orientation="portrait"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B1:W114"/>
  <sheetViews>
    <sheetView tabSelected="1" topLeftCell="A42" zoomScale="80" zoomScaleNormal="80" workbookViewId="0">
      <selection activeCell="V5" sqref="V5"/>
    </sheetView>
  </sheetViews>
  <sheetFormatPr baseColWidth="10" defaultColWidth="9.140625" defaultRowHeight="15" outlineLevelRow="1" x14ac:dyDescent="0.25"/>
  <cols>
    <col min="2" max="2" width="43.140625" customWidth="1"/>
    <col min="4" max="4" width="13.5703125" bestFit="1" customWidth="1"/>
    <col min="5" max="5" width="11.42578125" customWidth="1"/>
    <col min="6" max="15" width="9.7109375" customWidth="1"/>
    <col min="16" max="16" width="15.5703125" customWidth="1"/>
    <col min="17" max="17" width="20.42578125" customWidth="1"/>
    <col min="21" max="21" width="53.85546875" style="316" customWidth="1"/>
    <col min="22" max="22" width="25.85546875" style="320" customWidth="1"/>
    <col min="23" max="23" width="33.42578125" style="326" customWidth="1"/>
  </cols>
  <sheetData>
    <row r="1" spans="2:23" x14ac:dyDescent="0.25">
      <c r="Q1">
        <f>4000*57.2%</f>
        <v>2288.0000000000005</v>
      </c>
    </row>
    <row r="2" spans="2:23" x14ac:dyDescent="0.25">
      <c r="Q2">
        <f>4000-Q1</f>
        <v>1711.9999999999995</v>
      </c>
    </row>
    <row r="3" spans="2:23" ht="27" thickBot="1" x14ac:dyDescent="0.45">
      <c r="B3" s="403" t="s">
        <v>292</v>
      </c>
      <c r="C3" s="403"/>
      <c r="D3" s="403"/>
      <c r="E3" s="403"/>
      <c r="F3" s="403"/>
      <c r="G3" s="403"/>
      <c r="H3" s="403"/>
      <c r="I3" s="403"/>
      <c r="J3" s="403"/>
      <c r="K3" s="403"/>
      <c r="L3" s="403"/>
      <c r="M3" s="403"/>
      <c r="N3" s="403"/>
      <c r="O3" s="403"/>
      <c r="P3" s="288"/>
      <c r="Q3" s="270">
        <f>P5-Q5</f>
        <v>-1597</v>
      </c>
      <c r="R3" s="270"/>
      <c r="S3" s="270"/>
      <c r="T3" s="270"/>
    </row>
    <row r="4" spans="2:23" ht="18.75" x14ac:dyDescent="0.3">
      <c r="B4" s="271"/>
      <c r="C4" s="272"/>
      <c r="D4" s="272" t="s">
        <v>1</v>
      </c>
      <c r="E4" s="272" t="s">
        <v>2</v>
      </c>
      <c r="F4" s="272" t="s">
        <v>3</v>
      </c>
      <c r="G4" s="272" t="s">
        <v>4</v>
      </c>
      <c r="H4" s="272" t="s">
        <v>5</v>
      </c>
      <c r="I4" s="272" t="s">
        <v>6</v>
      </c>
      <c r="J4" s="272" t="s">
        <v>7</v>
      </c>
      <c r="K4" s="272" t="s">
        <v>8</v>
      </c>
      <c r="L4" s="272" t="s">
        <v>9</v>
      </c>
      <c r="M4" s="272" t="s">
        <v>10</v>
      </c>
      <c r="N4" s="272" t="s">
        <v>11</v>
      </c>
      <c r="O4" s="272" t="s">
        <v>12</v>
      </c>
      <c r="P4" s="272" t="s">
        <v>298</v>
      </c>
      <c r="Q4" s="286" t="s">
        <v>293</v>
      </c>
      <c r="R4" s="400" t="s">
        <v>294</v>
      </c>
      <c r="S4" s="401"/>
      <c r="T4" s="402"/>
      <c r="U4" s="317" t="s">
        <v>418</v>
      </c>
      <c r="V4" s="327" t="s">
        <v>419</v>
      </c>
      <c r="W4" s="328" t="s">
        <v>478</v>
      </c>
    </row>
    <row r="5" spans="2:23" ht="120.75" x14ac:dyDescent="0.3">
      <c r="B5" s="284" t="s">
        <v>13</v>
      </c>
      <c r="C5" s="285"/>
      <c r="D5" s="285">
        <f>D6+D12+D15</f>
        <v>0</v>
      </c>
      <c r="E5" s="285">
        <f t="shared" ref="E5:O5" si="0">E6+E12+E15</f>
        <v>4000</v>
      </c>
      <c r="F5" s="285">
        <f t="shared" si="0"/>
        <v>6403</v>
      </c>
      <c r="G5" s="285">
        <f t="shared" si="0"/>
        <v>6403</v>
      </c>
      <c r="H5" s="285">
        <f t="shared" si="0"/>
        <v>6403</v>
      </c>
      <c r="I5" s="285">
        <f t="shared" si="0"/>
        <v>6403</v>
      </c>
      <c r="J5" s="285">
        <f t="shared" si="0"/>
        <v>6403</v>
      </c>
      <c r="K5" s="285">
        <f t="shared" si="0"/>
        <v>6403</v>
      </c>
      <c r="L5" s="285">
        <f t="shared" si="0"/>
        <v>6403</v>
      </c>
      <c r="M5" s="285">
        <f t="shared" si="0"/>
        <v>6403</v>
      </c>
      <c r="N5" s="285">
        <f t="shared" si="0"/>
        <v>6403</v>
      </c>
      <c r="O5" s="285">
        <f t="shared" si="0"/>
        <v>6403</v>
      </c>
      <c r="P5" s="269">
        <f>SUM(D5:O5)</f>
        <v>68030</v>
      </c>
      <c r="Q5" s="287">
        <f>SUM(Q7:Q17)</f>
        <v>69627</v>
      </c>
      <c r="R5" s="273"/>
      <c r="S5" s="273"/>
      <c r="T5" s="273"/>
      <c r="U5" s="318" t="s">
        <v>401</v>
      </c>
      <c r="V5" s="329" t="s">
        <v>479</v>
      </c>
    </row>
    <row r="6" spans="2:23" ht="30.75" x14ac:dyDescent="0.3">
      <c r="B6" s="275" t="s">
        <v>14</v>
      </c>
      <c r="C6" s="276"/>
      <c r="D6" s="276">
        <f>D7+D8+D9+D10+D11</f>
        <v>0</v>
      </c>
      <c r="E6" s="276">
        <f t="shared" ref="E6:O6" si="1">E7+E8+E9+E10+E11</f>
        <v>2288</v>
      </c>
      <c r="F6" s="276">
        <f t="shared" si="1"/>
        <v>3701</v>
      </c>
      <c r="G6" s="276">
        <f t="shared" si="1"/>
        <v>3701</v>
      </c>
      <c r="H6" s="276">
        <f t="shared" si="1"/>
        <v>3701</v>
      </c>
      <c r="I6" s="276">
        <f t="shared" si="1"/>
        <v>3701</v>
      </c>
      <c r="J6" s="276">
        <f t="shared" si="1"/>
        <v>3701</v>
      </c>
      <c r="K6" s="276">
        <f t="shared" si="1"/>
        <v>3701</v>
      </c>
      <c r="L6" s="276">
        <f t="shared" si="1"/>
        <v>3701</v>
      </c>
      <c r="M6" s="276">
        <f t="shared" si="1"/>
        <v>3701</v>
      </c>
      <c r="N6" s="276">
        <f t="shared" si="1"/>
        <v>3701</v>
      </c>
      <c r="O6" s="276">
        <f t="shared" si="1"/>
        <v>3701</v>
      </c>
      <c r="P6" s="277">
        <f>SUM(D6:O6)</f>
        <v>39298</v>
      </c>
      <c r="Q6" s="287"/>
      <c r="R6" s="273"/>
      <c r="S6" s="273"/>
      <c r="T6" s="273"/>
      <c r="U6" s="318" t="s">
        <v>402</v>
      </c>
      <c r="V6" s="329" t="s">
        <v>466</v>
      </c>
    </row>
    <row r="7" spans="2:23" ht="18.75" x14ac:dyDescent="0.3">
      <c r="B7" s="274" t="s">
        <v>15</v>
      </c>
      <c r="C7" s="273"/>
      <c r="D7" s="277">
        <v>0</v>
      </c>
      <c r="E7" s="322">
        <v>2288</v>
      </c>
      <c r="F7" s="277">
        <f t="shared" ref="F7:O7" si="2">E7</f>
        <v>2288</v>
      </c>
      <c r="G7" s="277">
        <f t="shared" si="2"/>
        <v>2288</v>
      </c>
      <c r="H7" s="277">
        <f t="shared" si="2"/>
        <v>2288</v>
      </c>
      <c r="I7" s="277">
        <f t="shared" si="2"/>
        <v>2288</v>
      </c>
      <c r="J7" s="277">
        <f t="shared" si="2"/>
        <v>2288</v>
      </c>
      <c r="K7" s="277">
        <f t="shared" si="2"/>
        <v>2288</v>
      </c>
      <c r="L7" s="277">
        <f t="shared" si="2"/>
        <v>2288</v>
      </c>
      <c r="M7" s="277">
        <f t="shared" si="2"/>
        <v>2288</v>
      </c>
      <c r="N7" s="277">
        <f t="shared" si="2"/>
        <v>2288</v>
      </c>
      <c r="O7" s="277">
        <f t="shared" si="2"/>
        <v>2288</v>
      </c>
      <c r="P7" s="277">
        <f>SUM(D7:O7)</f>
        <v>25168</v>
      </c>
      <c r="Q7" s="287">
        <f>O7*12</f>
        <v>27456</v>
      </c>
      <c r="R7" s="273"/>
      <c r="S7" s="273"/>
      <c r="T7" s="273"/>
      <c r="U7" s="318"/>
      <c r="V7" s="321"/>
      <c r="W7" s="329"/>
    </row>
    <row r="8" spans="2:23" ht="28.5" customHeight="1" x14ac:dyDescent="0.3">
      <c r="B8" s="274" t="s">
        <v>16</v>
      </c>
      <c r="C8" s="273"/>
      <c r="D8" s="277">
        <v>0</v>
      </c>
      <c r="E8" s="322"/>
      <c r="F8" s="322">
        <v>1413</v>
      </c>
      <c r="G8" s="322">
        <v>1413</v>
      </c>
      <c r="H8" s="322">
        <v>1413</v>
      </c>
      <c r="I8" s="322">
        <v>1413</v>
      </c>
      <c r="J8" s="322">
        <v>1413</v>
      </c>
      <c r="K8" s="322">
        <v>1413</v>
      </c>
      <c r="L8" s="322">
        <v>1413</v>
      </c>
      <c r="M8" s="322">
        <v>1413</v>
      </c>
      <c r="N8" s="322">
        <v>1413</v>
      </c>
      <c r="O8" s="322">
        <v>1413</v>
      </c>
      <c r="P8" s="277">
        <f>SUM(D8:O8)</f>
        <v>14130</v>
      </c>
      <c r="Q8" s="287">
        <f>O8*9</f>
        <v>12717</v>
      </c>
      <c r="R8" s="273"/>
      <c r="S8" s="273"/>
      <c r="T8" s="273"/>
      <c r="U8" s="318" t="s">
        <v>403</v>
      </c>
      <c r="V8" s="331" t="s">
        <v>467</v>
      </c>
    </row>
    <row r="9" spans="2:23" ht="18.75" hidden="1" outlineLevel="1" x14ac:dyDescent="0.3">
      <c r="B9" s="274" t="s">
        <v>17</v>
      </c>
      <c r="C9" s="273"/>
      <c r="D9" s="277"/>
      <c r="E9" s="277"/>
      <c r="F9" s="277"/>
      <c r="G9" s="277"/>
      <c r="H9" s="277"/>
      <c r="I9" s="277"/>
      <c r="J9" s="277"/>
      <c r="K9" s="277"/>
      <c r="L9" s="277"/>
      <c r="M9" s="277"/>
      <c r="N9" s="277"/>
      <c r="O9" s="277"/>
      <c r="P9" s="277"/>
      <c r="Q9" s="287"/>
      <c r="R9" s="273"/>
      <c r="S9" s="273"/>
      <c r="T9" s="273"/>
      <c r="U9" s="319"/>
      <c r="V9" s="321"/>
    </row>
    <row r="10" spans="2:23" ht="18.75" hidden="1" outlineLevel="1" x14ac:dyDescent="0.3">
      <c r="B10" s="274" t="s">
        <v>18</v>
      </c>
      <c r="C10" s="273"/>
      <c r="D10" s="277"/>
      <c r="E10" s="277"/>
      <c r="F10" s="277"/>
      <c r="G10" s="277"/>
      <c r="H10" s="277"/>
      <c r="I10" s="277"/>
      <c r="J10" s="277"/>
      <c r="K10" s="277"/>
      <c r="L10" s="277"/>
      <c r="M10" s="277"/>
      <c r="N10" s="277"/>
      <c r="O10" s="277"/>
      <c r="P10" s="277"/>
      <c r="Q10" s="287"/>
      <c r="R10" s="273"/>
      <c r="S10" s="273"/>
      <c r="T10" s="273"/>
      <c r="U10" s="319"/>
      <c r="V10" s="321"/>
    </row>
    <row r="11" spans="2:23" ht="18.75" hidden="1" outlineLevel="1" x14ac:dyDescent="0.3">
      <c r="B11" s="274" t="s">
        <v>19</v>
      </c>
      <c r="C11" s="273"/>
      <c r="D11" s="277"/>
      <c r="E11" s="277"/>
      <c r="F11" s="277"/>
      <c r="G11" s="277"/>
      <c r="H11" s="277"/>
      <c r="I11" s="277"/>
      <c r="J11" s="277"/>
      <c r="K11" s="277"/>
      <c r="L11" s="277"/>
      <c r="M11" s="277"/>
      <c r="N11" s="277"/>
      <c r="O11" s="277"/>
      <c r="P11" s="277"/>
      <c r="Q11" s="287"/>
      <c r="R11" s="273"/>
      <c r="S11" s="273"/>
      <c r="T11" s="273"/>
      <c r="U11" s="319"/>
      <c r="V11" s="321"/>
    </row>
    <row r="12" spans="2:23" ht="56.25" collapsed="1" x14ac:dyDescent="0.3">
      <c r="B12" s="278" t="s">
        <v>20</v>
      </c>
      <c r="C12" s="282"/>
      <c r="D12" s="282">
        <f>D13+D14</f>
        <v>0</v>
      </c>
      <c r="E12" s="282">
        <f t="shared" ref="E12:O12" si="3">E13+E14</f>
        <v>0</v>
      </c>
      <c r="F12" s="282">
        <f t="shared" si="3"/>
        <v>0</v>
      </c>
      <c r="G12" s="282">
        <f t="shared" si="3"/>
        <v>0</v>
      </c>
      <c r="H12" s="282">
        <f t="shared" si="3"/>
        <v>0</v>
      </c>
      <c r="I12" s="282">
        <f t="shared" si="3"/>
        <v>0</v>
      </c>
      <c r="J12" s="282">
        <f t="shared" si="3"/>
        <v>0</v>
      </c>
      <c r="K12" s="282">
        <f t="shared" si="3"/>
        <v>0</v>
      </c>
      <c r="L12" s="282">
        <f t="shared" si="3"/>
        <v>0</v>
      </c>
      <c r="M12" s="282">
        <f t="shared" si="3"/>
        <v>0</v>
      </c>
      <c r="N12" s="282">
        <f t="shared" si="3"/>
        <v>0</v>
      </c>
      <c r="O12" s="282">
        <f t="shared" si="3"/>
        <v>0</v>
      </c>
      <c r="P12" s="277">
        <f t="shared" ref="P12:P17" si="4">SUM(D12:O12)</f>
        <v>0</v>
      </c>
      <c r="Q12" s="287"/>
      <c r="R12" s="273"/>
      <c r="S12" s="273"/>
      <c r="T12" s="273"/>
      <c r="U12" s="319"/>
      <c r="V12" s="321"/>
      <c r="W12" s="329"/>
    </row>
    <row r="13" spans="2:23" ht="18.75" x14ac:dyDescent="0.3">
      <c r="B13" s="274" t="s">
        <v>299</v>
      </c>
      <c r="C13" s="273"/>
      <c r="D13" s="277">
        <v>0</v>
      </c>
      <c r="E13" s="277"/>
      <c r="F13" s="277"/>
      <c r="G13" s="277"/>
      <c r="H13" s="277"/>
      <c r="I13" s="277"/>
      <c r="J13" s="277"/>
      <c r="K13" s="277"/>
      <c r="L13" s="277"/>
      <c r="M13" s="277"/>
      <c r="N13" s="277"/>
      <c r="O13" s="277"/>
      <c r="P13" s="277">
        <f t="shared" si="4"/>
        <v>0</v>
      </c>
      <c r="Q13" s="287"/>
      <c r="R13" s="273"/>
      <c r="S13" s="273"/>
      <c r="T13" s="273"/>
      <c r="U13" s="319"/>
      <c r="V13" s="321"/>
      <c r="W13" s="329"/>
    </row>
    <row r="14" spans="2:23" ht="18.75" x14ac:dyDescent="0.3">
      <c r="B14" s="274" t="s">
        <v>299</v>
      </c>
      <c r="C14" s="273"/>
      <c r="D14" s="277">
        <v>0</v>
      </c>
      <c r="E14" s="277">
        <f>D14</f>
        <v>0</v>
      </c>
      <c r="F14" s="277">
        <f t="shared" ref="F14:O14" si="5">E14</f>
        <v>0</v>
      </c>
      <c r="G14" s="277">
        <f t="shared" si="5"/>
        <v>0</v>
      </c>
      <c r="H14" s="277">
        <f t="shared" si="5"/>
        <v>0</v>
      </c>
      <c r="I14" s="277">
        <f t="shared" si="5"/>
        <v>0</v>
      </c>
      <c r="J14" s="277">
        <f t="shared" si="5"/>
        <v>0</v>
      </c>
      <c r="K14" s="277">
        <f t="shared" si="5"/>
        <v>0</v>
      </c>
      <c r="L14" s="277">
        <f t="shared" si="5"/>
        <v>0</v>
      </c>
      <c r="M14" s="277">
        <f t="shared" si="5"/>
        <v>0</v>
      </c>
      <c r="N14" s="277">
        <f t="shared" si="5"/>
        <v>0</v>
      </c>
      <c r="O14" s="277">
        <f t="shared" si="5"/>
        <v>0</v>
      </c>
      <c r="P14" s="277">
        <f t="shared" si="4"/>
        <v>0</v>
      </c>
      <c r="Q14" s="287"/>
      <c r="R14" s="273"/>
      <c r="S14" s="273"/>
      <c r="T14" s="273"/>
      <c r="U14" s="319"/>
      <c r="V14" s="321"/>
      <c r="W14" s="329"/>
    </row>
    <row r="15" spans="2:23" ht="75" x14ac:dyDescent="0.3">
      <c r="B15" s="278" t="s">
        <v>21</v>
      </c>
      <c r="C15" s="273"/>
      <c r="D15" s="279">
        <f>SUM(D16:D20)</f>
        <v>0</v>
      </c>
      <c r="E15" s="279">
        <f t="shared" ref="E15:O15" si="6">SUM(E16:E20)</f>
        <v>1712</v>
      </c>
      <c r="F15" s="279">
        <f t="shared" si="6"/>
        <v>2702</v>
      </c>
      <c r="G15" s="279">
        <f t="shared" si="6"/>
        <v>2702</v>
      </c>
      <c r="H15" s="279">
        <f t="shared" si="6"/>
        <v>2702</v>
      </c>
      <c r="I15" s="279">
        <f t="shared" si="6"/>
        <v>2702</v>
      </c>
      <c r="J15" s="279">
        <f t="shared" si="6"/>
        <v>2702</v>
      </c>
      <c r="K15" s="279">
        <f t="shared" si="6"/>
        <v>2702</v>
      </c>
      <c r="L15" s="279">
        <f t="shared" si="6"/>
        <v>2702</v>
      </c>
      <c r="M15" s="279">
        <f t="shared" si="6"/>
        <v>2702</v>
      </c>
      <c r="N15" s="279">
        <f t="shared" si="6"/>
        <v>2702</v>
      </c>
      <c r="O15" s="279">
        <f t="shared" si="6"/>
        <v>2702</v>
      </c>
      <c r="P15" s="277">
        <f t="shared" si="4"/>
        <v>28732</v>
      </c>
      <c r="Q15" s="287"/>
      <c r="R15" s="273"/>
      <c r="S15" s="273"/>
      <c r="T15" s="273"/>
      <c r="U15" s="319"/>
      <c r="V15" s="321"/>
      <c r="W15" s="329"/>
    </row>
    <row r="16" spans="2:23" ht="18.75" x14ac:dyDescent="0.3">
      <c r="B16" s="274" t="s">
        <v>15</v>
      </c>
      <c r="C16" s="273"/>
      <c r="D16" s="277">
        <v>0</v>
      </c>
      <c r="E16" s="277">
        <v>1712</v>
      </c>
      <c r="F16" s="277">
        <v>1712</v>
      </c>
      <c r="G16" s="277">
        <v>1712</v>
      </c>
      <c r="H16" s="277">
        <v>1712</v>
      </c>
      <c r="I16" s="277">
        <v>1712</v>
      </c>
      <c r="J16" s="277">
        <v>1712</v>
      </c>
      <c r="K16" s="277">
        <v>1712</v>
      </c>
      <c r="L16" s="277">
        <v>1712</v>
      </c>
      <c r="M16" s="277">
        <v>1712</v>
      </c>
      <c r="N16" s="277">
        <v>1712</v>
      </c>
      <c r="O16" s="277">
        <v>1712</v>
      </c>
      <c r="P16" s="277">
        <f t="shared" si="4"/>
        <v>18832</v>
      </c>
      <c r="Q16" s="287">
        <f>O16*12</f>
        <v>20544</v>
      </c>
      <c r="R16" s="273"/>
      <c r="S16" s="273"/>
      <c r="T16" s="273"/>
      <c r="U16" s="319"/>
      <c r="V16" s="321"/>
      <c r="W16" s="329"/>
    </row>
    <row r="17" spans="2:23" ht="18.75" x14ac:dyDescent="0.3">
      <c r="B17" s="274" t="s">
        <v>16</v>
      </c>
      <c r="C17" s="273"/>
      <c r="D17" s="277"/>
      <c r="E17" s="322"/>
      <c r="F17" s="322">
        <v>990</v>
      </c>
      <c r="G17" s="322">
        <v>990</v>
      </c>
      <c r="H17" s="322">
        <v>990</v>
      </c>
      <c r="I17" s="322">
        <v>990</v>
      </c>
      <c r="J17" s="322">
        <v>990</v>
      </c>
      <c r="K17" s="322">
        <v>990</v>
      </c>
      <c r="L17" s="322">
        <v>990</v>
      </c>
      <c r="M17" s="322">
        <v>990</v>
      </c>
      <c r="N17" s="322">
        <v>990</v>
      </c>
      <c r="O17" s="322">
        <v>990</v>
      </c>
      <c r="P17" s="277">
        <f t="shared" si="4"/>
        <v>9900</v>
      </c>
      <c r="Q17" s="287">
        <f>O17*9</f>
        <v>8910</v>
      </c>
      <c r="R17" s="273"/>
      <c r="S17" s="273"/>
      <c r="T17" s="273"/>
      <c r="U17" s="319"/>
      <c r="V17" s="321"/>
      <c r="W17" s="329"/>
    </row>
    <row r="18" spans="2:23" ht="18.75" hidden="1" outlineLevel="1" x14ac:dyDescent="0.3">
      <c r="B18" s="274" t="s">
        <v>17</v>
      </c>
      <c r="C18" s="273"/>
      <c r="D18" s="277"/>
      <c r="E18" s="277"/>
      <c r="F18" s="277"/>
      <c r="G18" s="277"/>
      <c r="H18" s="277"/>
      <c r="I18" s="277"/>
      <c r="J18" s="277"/>
      <c r="K18" s="277"/>
      <c r="L18" s="277"/>
      <c r="M18" s="277"/>
      <c r="N18" s="277"/>
      <c r="O18" s="277"/>
      <c r="P18" s="277">
        <f t="shared" ref="P18:P81" si="7">SUM(D18:O18)</f>
        <v>0</v>
      </c>
      <c r="Q18" s="287"/>
      <c r="R18" s="273"/>
      <c r="S18" s="273"/>
      <c r="T18" s="273"/>
      <c r="U18" s="319"/>
      <c r="V18" s="321"/>
    </row>
    <row r="19" spans="2:23" ht="18.75" hidden="1" outlineLevel="1" x14ac:dyDescent="0.3">
      <c r="B19" s="274" t="s">
        <v>18</v>
      </c>
      <c r="C19" s="273"/>
      <c r="D19" s="277"/>
      <c r="E19" s="277"/>
      <c r="F19" s="277"/>
      <c r="G19" s="277"/>
      <c r="H19" s="277"/>
      <c r="I19" s="277"/>
      <c r="J19" s="277"/>
      <c r="K19" s="277"/>
      <c r="L19" s="277"/>
      <c r="M19" s="277"/>
      <c r="N19" s="277"/>
      <c r="O19" s="277"/>
      <c r="P19" s="277">
        <f t="shared" si="7"/>
        <v>0</v>
      </c>
      <c r="Q19" s="287"/>
      <c r="R19" s="273"/>
      <c r="S19" s="273"/>
      <c r="T19" s="273"/>
      <c r="U19" s="319"/>
      <c r="V19" s="321"/>
    </row>
    <row r="20" spans="2:23" ht="18.75" hidden="1" outlineLevel="1" x14ac:dyDescent="0.3">
      <c r="B20" s="274" t="s">
        <v>19</v>
      </c>
      <c r="C20" s="273"/>
      <c r="D20" s="277"/>
      <c r="E20" s="277"/>
      <c r="F20" s="277"/>
      <c r="G20" s="277"/>
      <c r="H20" s="277"/>
      <c r="I20" s="277"/>
      <c r="J20" s="277"/>
      <c r="K20" s="277"/>
      <c r="L20" s="277"/>
      <c r="M20" s="277"/>
      <c r="N20" s="277"/>
      <c r="O20" s="277"/>
      <c r="P20" s="277">
        <f t="shared" si="7"/>
        <v>0</v>
      </c>
      <c r="Q20" s="287"/>
      <c r="R20" s="273"/>
      <c r="S20" s="273"/>
      <c r="T20" s="273"/>
      <c r="U20" s="319"/>
      <c r="V20" s="321"/>
    </row>
    <row r="21" spans="2:23" ht="18.75" collapsed="1" x14ac:dyDescent="0.3">
      <c r="B21" s="274"/>
      <c r="C21" s="273"/>
      <c r="D21" s="273"/>
      <c r="E21" s="273"/>
      <c r="F21" s="273"/>
      <c r="G21" s="273"/>
      <c r="H21" s="273"/>
      <c r="I21" s="273"/>
      <c r="J21" s="273"/>
      <c r="K21" s="273"/>
      <c r="L21" s="273"/>
      <c r="M21" s="273"/>
      <c r="N21" s="273"/>
      <c r="O21" s="273"/>
      <c r="P21" s="277">
        <f t="shared" si="7"/>
        <v>0</v>
      </c>
      <c r="Q21" s="287"/>
      <c r="R21" s="273"/>
      <c r="S21" s="273"/>
      <c r="T21" s="273"/>
      <c r="U21" s="319"/>
      <c r="V21" s="321"/>
      <c r="W21" s="329"/>
    </row>
    <row r="22" spans="2:23" ht="75.75" x14ac:dyDescent="0.3">
      <c r="B22" s="267" t="s">
        <v>22</v>
      </c>
      <c r="C22" s="269"/>
      <c r="D22" s="269">
        <f>D23+D27+D31+D35</f>
        <v>0</v>
      </c>
      <c r="E22" s="269">
        <v>0</v>
      </c>
      <c r="F22" s="269">
        <v>0</v>
      </c>
      <c r="G22" s="269">
        <v>0</v>
      </c>
      <c r="H22" s="269">
        <v>0</v>
      </c>
      <c r="I22" s="269">
        <v>0</v>
      </c>
      <c r="J22" s="269">
        <v>0</v>
      </c>
      <c r="K22" s="269">
        <v>0</v>
      </c>
      <c r="L22" s="269">
        <v>0</v>
      </c>
      <c r="M22" s="269">
        <v>0</v>
      </c>
      <c r="N22" s="269">
        <v>0</v>
      </c>
      <c r="O22" s="269">
        <v>0</v>
      </c>
      <c r="P22" s="277">
        <f t="shared" si="7"/>
        <v>0</v>
      </c>
      <c r="Q22" s="287"/>
      <c r="R22" s="273"/>
      <c r="S22" s="273"/>
      <c r="T22" s="273"/>
      <c r="U22" s="318" t="s">
        <v>404</v>
      </c>
      <c r="V22" s="321"/>
    </row>
    <row r="23" spans="2:23" ht="30.75" x14ac:dyDescent="0.3">
      <c r="B23" s="283" t="s">
        <v>23</v>
      </c>
      <c r="C23" s="282"/>
      <c r="D23" s="282">
        <f>SUM(D24:D25)</f>
        <v>0</v>
      </c>
      <c r="E23" s="282">
        <f t="shared" ref="E23:O23" si="8">SUM(E24:E25)</f>
        <v>0</v>
      </c>
      <c r="F23" s="282">
        <f t="shared" si="8"/>
        <v>0</v>
      </c>
      <c r="G23" s="282">
        <f t="shared" si="8"/>
        <v>0</v>
      </c>
      <c r="H23" s="282">
        <f t="shared" si="8"/>
        <v>0</v>
      </c>
      <c r="I23" s="282">
        <f t="shared" si="8"/>
        <v>0</v>
      </c>
      <c r="J23" s="282">
        <f t="shared" si="8"/>
        <v>0</v>
      </c>
      <c r="K23" s="282">
        <f t="shared" si="8"/>
        <v>0</v>
      </c>
      <c r="L23" s="282">
        <f t="shared" si="8"/>
        <v>0</v>
      </c>
      <c r="M23" s="282">
        <f t="shared" si="8"/>
        <v>0</v>
      </c>
      <c r="N23" s="282">
        <f t="shared" si="8"/>
        <v>0</v>
      </c>
      <c r="O23" s="282">
        <f t="shared" si="8"/>
        <v>0</v>
      </c>
      <c r="P23" s="277">
        <f t="shared" si="7"/>
        <v>0</v>
      </c>
      <c r="Q23" s="287"/>
      <c r="R23" s="273"/>
      <c r="S23" s="273"/>
      <c r="T23" s="273"/>
      <c r="U23" s="318" t="s">
        <v>405</v>
      </c>
      <c r="V23" s="321"/>
      <c r="W23" s="329"/>
    </row>
    <row r="24" spans="2:23" ht="45.75" x14ac:dyDescent="0.3">
      <c r="B24" s="274" t="s">
        <v>24</v>
      </c>
      <c r="C24" s="273"/>
      <c r="D24" s="277"/>
      <c r="E24" s="277"/>
      <c r="F24" s="277"/>
      <c r="G24" s="277"/>
      <c r="H24" s="277"/>
      <c r="I24" s="277"/>
      <c r="J24" s="277"/>
      <c r="K24" s="277"/>
      <c r="L24" s="277"/>
      <c r="M24" s="277"/>
      <c r="N24" s="277"/>
      <c r="O24" s="277"/>
      <c r="P24" s="277">
        <f t="shared" si="7"/>
        <v>0</v>
      </c>
      <c r="Q24" s="287"/>
      <c r="R24" s="273"/>
      <c r="S24" s="273"/>
      <c r="T24" s="273"/>
      <c r="U24" s="318" t="s">
        <v>406</v>
      </c>
      <c r="V24" s="321" t="s">
        <v>421</v>
      </c>
      <c r="W24" s="329"/>
    </row>
    <row r="25" spans="2:23" ht="18.75" x14ac:dyDescent="0.3">
      <c r="B25" s="274" t="s">
        <v>25</v>
      </c>
      <c r="C25" s="273"/>
      <c r="D25" s="277"/>
      <c r="E25" s="277"/>
      <c r="F25" s="277"/>
      <c r="G25" s="277"/>
      <c r="H25" s="277"/>
      <c r="I25" s="277"/>
      <c r="J25" s="277"/>
      <c r="K25" s="277"/>
      <c r="L25" s="277"/>
      <c r="M25" s="277"/>
      <c r="N25" s="277"/>
      <c r="O25" s="277"/>
      <c r="P25" s="277">
        <f t="shared" si="7"/>
        <v>0</v>
      </c>
      <c r="Q25" s="287"/>
      <c r="R25" s="273"/>
      <c r="S25" s="273"/>
      <c r="T25" s="273"/>
      <c r="U25" s="319"/>
      <c r="V25" s="321"/>
      <c r="W25" s="329"/>
    </row>
    <row r="26" spans="2:23" ht="18.75" x14ac:dyDescent="0.3">
      <c r="B26" s="274"/>
      <c r="C26" s="273"/>
      <c r="D26" s="273"/>
      <c r="E26" s="273"/>
      <c r="F26" s="273"/>
      <c r="G26" s="273"/>
      <c r="H26" s="273"/>
      <c r="I26" s="273"/>
      <c r="J26" s="273"/>
      <c r="K26" s="273"/>
      <c r="L26" s="273"/>
      <c r="M26" s="273"/>
      <c r="N26" s="273"/>
      <c r="O26" s="273"/>
      <c r="P26" s="277">
        <f t="shared" si="7"/>
        <v>0</v>
      </c>
      <c r="Q26" s="287"/>
      <c r="R26" s="273"/>
      <c r="S26" s="273"/>
      <c r="T26" s="273"/>
      <c r="U26" s="319"/>
      <c r="V26" s="321"/>
      <c r="W26" s="329"/>
    </row>
    <row r="27" spans="2:23" ht="37.5" x14ac:dyDescent="0.3">
      <c r="B27" s="283" t="s">
        <v>26</v>
      </c>
      <c r="C27" s="282"/>
      <c r="D27" s="282">
        <f>SUM(D28:D29)</f>
        <v>0</v>
      </c>
      <c r="E27" s="282">
        <f t="shared" ref="E27:O27" si="9">SUM(E28:E29)</f>
        <v>0</v>
      </c>
      <c r="F27" s="282">
        <f t="shared" si="9"/>
        <v>0</v>
      </c>
      <c r="G27" s="282">
        <f t="shared" si="9"/>
        <v>0</v>
      </c>
      <c r="H27" s="282">
        <f t="shared" si="9"/>
        <v>0</v>
      </c>
      <c r="I27" s="282">
        <f t="shared" si="9"/>
        <v>0</v>
      </c>
      <c r="J27" s="282">
        <f t="shared" si="9"/>
        <v>0</v>
      </c>
      <c r="K27" s="282">
        <f t="shared" si="9"/>
        <v>0</v>
      </c>
      <c r="L27" s="282">
        <f t="shared" si="9"/>
        <v>0</v>
      </c>
      <c r="M27" s="282">
        <f t="shared" si="9"/>
        <v>0</v>
      </c>
      <c r="N27" s="282">
        <f t="shared" si="9"/>
        <v>0</v>
      </c>
      <c r="O27" s="282">
        <f t="shared" si="9"/>
        <v>0</v>
      </c>
      <c r="P27" s="277">
        <f t="shared" si="7"/>
        <v>0</v>
      </c>
      <c r="Q27" s="287"/>
      <c r="R27" s="273"/>
      <c r="S27" s="273"/>
      <c r="T27" s="273"/>
      <c r="U27" s="319"/>
      <c r="V27" s="321"/>
      <c r="W27" s="329"/>
    </row>
    <row r="28" spans="2:23" ht="18.75" x14ac:dyDescent="0.3">
      <c r="B28" s="274" t="s">
        <v>27</v>
      </c>
      <c r="C28" s="273"/>
      <c r="D28" s="277"/>
      <c r="E28" s="277"/>
      <c r="F28" s="277"/>
      <c r="G28" s="277"/>
      <c r="H28" s="277"/>
      <c r="I28" s="277"/>
      <c r="J28" s="277"/>
      <c r="K28" s="277"/>
      <c r="L28" s="277"/>
      <c r="M28" s="277"/>
      <c r="N28" s="277"/>
      <c r="O28" s="277"/>
      <c r="P28" s="277">
        <f t="shared" si="7"/>
        <v>0</v>
      </c>
      <c r="Q28" s="287"/>
      <c r="R28" s="273"/>
      <c r="S28" s="273"/>
      <c r="T28" s="273"/>
      <c r="U28" s="319"/>
      <c r="V28" s="321"/>
    </row>
    <row r="29" spans="2:23" ht="18.75" x14ac:dyDescent="0.3">
      <c r="B29" s="274" t="s">
        <v>28</v>
      </c>
      <c r="C29" s="273"/>
      <c r="D29" s="277"/>
      <c r="E29" s="277"/>
      <c r="F29" s="277"/>
      <c r="G29" s="277"/>
      <c r="H29" s="277"/>
      <c r="I29" s="277"/>
      <c r="J29" s="277"/>
      <c r="K29" s="277"/>
      <c r="L29" s="277"/>
      <c r="M29" s="277"/>
      <c r="N29" s="277"/>
      <c r="O29" s="277"/>
      <c r="P29" s="277">
        <f t="shared" si="7"/>
        <v>0</v>
      </c>
      <c r="Q29" s="287"/>
      <c r="R29" s="273"/>
      <c r="S29" s="273"/>
      <c r="T29" s="273"/>
      <c r="U29" s="319"/>
      <c r="V29" s="321"/>
      <c r="W29" s="329"/>
    </row>
    <row r="30" spans="2:23" ht="18.75" x14ac:dyDescent="0.3">
      <c r="B30" s="274"/>
      <c r="C30" s="281"/>
      <c r="D30" s="281"/>
      <c r="E30" s="281"/>
      <c r="F30" s="281"/>
      <c r="G30" s="281"/>
      <c r="H30" s="281"/>
      <c r="I30" s="281"/>
      <c r="J30" s="281"/>
      <c r="K30" s="281"/>
      <c r="L30" s="281"/>
      <c r="M30" s="281"/>
      <c r="N30" s="281"/>
      <c r="O30" s="281"/>
      <c r="P30" s="277">
        <f t="shared" si="7"/>
        <v>0</v>
      </c>
      <c r="Q30" s="287"/>
      <c r="R30" s="273"/>
      <c r="S30" s="273"/>
      <c r="T30" s="273"/>
      <c r="U30" s="319"/>
      <c r="V30" s="321"/>
      <c r="W30" s="329"/>
    </row>
    <row r="31" spans="2:23" ht="150" x14ac:dyDescent="0.3">
      <c r="B31" s="283" t="s">
        <v>29</v>
      </c>
      <c r="C31" s="282"/>
      <c r="D31" s="282">
        <f>SUM(D32:D33)</f>
        <v>0</v>
      </c>
      <c r="E31" s="323">
        <v>1000</v>
      </c>
      <c r="F31" s="323">
        <v>1500</v>
      </c>
      <c r="G31" s="282">
        <f t="shared" ref="G31:O31" si="10">SUM(G32:G33)</f>
        <v>0</v>
      </c>
      <c r="H31" s="282">
        <f t="shared" si="10"/>
        <v>0</v>
      </c>
      <c r="I31" s="282">
        <f t="shared" si="10"/>
        <v>0</v>
      </c>
      <c r="J31" s="282">
        <f t="shared" si="10"/>
        <v>0</v>
      </c>
      <c r="K31" s="282">
        <f t="shared" si="10"/>
        <v>0</v>
      </c>
      <c r="L31" s="323">
        <v>1500</v>
      </c>
      <c r="M31" s="282">
        <f t="shared" si="10"/>
        <v>0</v>
      </c>
      <c r="N31" s="282">
        <f t="shared" si="10"/>
        <v>0</v>
      </c>
      <c r="O31" s="282">
        <f t="shared" si="10"/>
        <v>0</v>
      </c>
      <c r="P31" s="277">
        <f t="shared" si="7"/>
        <v>4000</v>
      </c>
      <c r="Q31" s="287"/>
      <c r="R31" s="273"/>
      <c r="S31" s="273"/>
      <c r="T31" s="273"/>
      <c r="U31" s="319"/>
      <c r="V31" s="321"/>
      <c r="W31" s="329"/>
    </row>
    <row r="32" spans="2:23" ht="37.5" x14ac:dyDescent="0.3">
      <c r="B32" s="283" t="s">
        <v>303</v>
      </c>
      <c r="C32" s="282"/>
      <c r="D32" s="277">
        <v>0</v>
      </c>
      <c r="E32" s="322">
        <v>0</v>
      </c>
      <c r="F32" s="322">
        <v>0</v>
      </c>
      <c r="G32" s="277">
        <v>0</v>
      </c>
      <c r="H32" s="277">
        <v>0</v>
      </c>
      <c r="I32" s="277">
        <v>0</v>
      </c>
      <c r="J32" s="277">
        <v>0</v>
      </c>
      <c r="K32" s="277">
        <v>0</v>
      </c>
      <c r="L32" s="277">
        <v>0</v>
      </c>
      <c r="M32" s="277">
        <v>0</v>
      </c>
      <c r="N32" s="277">
        <v>0</v>
      </c>
      <c r="O32" s="277">
        <v>0</v>
      </c>
      <c r="P32" s="277">
        <f t="shared" si="7"/>
        <v>0</v>
      </c>
      <c r="Q32" s="287"/>
      <c r="R32" s="273"/>
      <c r="S32" s="273"/>
      <c r="T32" s="273"/>
      <c r="U32" s="319"/>
      <c r="V32" s="321"/>
      <c r="W32" s="329"/>
    </row>
    <row r="33" spans="2:23" ht="18.75" x14ac:dyDescent="0.3">
      <c r="B33" s="283" t="s">
        <v>30</v>
      </c>
      <c r="C33" s="282"/>
      <c r="D33" s="277"/>
      <c r="E33" s="277"/>
      <c r="F33" s="277"/>
      <c r="G33" s="277"/>
      <c r="H33" s="277"/>
      <c r="I33" s="277"/>
      <c r="J33" s="277"/>
      <c r="K33" s="277"/>
      <c r="L33" s="277"/>
      <c r="M33" s="277"/>
      <c r="N33" s="277"/>
      <c r="O33" s="277"/>
      <c r="P33" s="277">
        <f t="shared" si="7"/>
        <v>0</v>
      </c>
      <c r="Q33" s="287"/>
      <c r="R33" s="273"/>
      <c r="S33" s="273"/>
      <c r="T33" s="273"/>
      <c r="U33" s="319"/>
      <c r="V33" s="321"/>
      <c r="W33" s="329"/>
    </row>
    <row r="34" spans="2:23" ht="18.75" x14ac:dyDescent="0.3">
      <c r="B34" s="280"/>
      <c r="C34" s="281"/>
      <c r="D34" s="281"/>
      <c r="E34" s="281"/>
      <c r="F34" s="281"/>
      <c r="G34" s="281"/>
      <c r="H34" s="281"/>
      <c r="I34" s="281"/>
      <c r="J34" s="281"/>
      <c r="K34" s="281"/>
      <c r="L34" s="281"/>
      <c r="M34" s="281"/>
      <c r="N34" s="281"/>
      <c r="O34" s="281"/>
      <c r="P34" s="277">
        <f t="shared" si="7"/>
        <v>0</v>
      </c>
      <c r="Q34" s="287"/>
      <c r="R34" s="281"/>
      <c r="S34" s="281"/>
      <c r="T34" s="281"/>
      <c r="U34" s="319"/>
      <c r="V34" s="321"/>
    </row>
    <row r="35" spans="2:23" ht="37.5" x14ac:dyDescent="0.3">
      <c r="B35" s="283" t="s">
        <v>31</v>
      </c>
      <c r="C35" s="282"/>
      <c r="D35" s="282">
        <v>0</v>
      </c>
      <c r="E35" s="282">
        <v>0</v>
      </c>
      <c r="F35" s="282">
        <v>0</v>
      </c>
      <c r="G35" s="282">
        <v>0</v>
      </c>
      <c r="H35" s="282">
        <v>0</v>
      </c>
      <c r="I35" s="282">
        <v>0</v>
      </c>
      <c r="J35" s="282">
        <v>0</v>
      </c>
      <c r="K35" s="282">
        <v>0</v>
      </c>
      <c r="L35" s="282">
        <v>0</v>
      </c>
      <c r="M35" s="282">
        <v>0</v>
      </c>
      <c r="N35" s="282">
        <v>0</v>
      </c>
      <c r="O35" s="282"/>
      <c r="P35" s="277"/>
      <c r="Q35" s="287"/>
      <c r="R35" s="273"/>
      <c r="S35" s="273"/>
      <c r="T35" s="273"/>
      <c r="U35" s="319"/>
      <c r="V35" s="321"/>
      <c r="W35" s="329"/>
    </row>
    <row r="36" spans="2:23" ht="18.75" x14ac:dyDescent="0.3">
      <c r="B36" s="274"/>
      <c r="C36" s="273"/>
      <c r="D36" s="273"/>
      <c r="E36" s="273"/>
      <c r="F36" s="273"/>
      <c r="G36" s="273"/>
      <c r="H36" s="273"/>
      <c r="I36" s="273"/>
      <c r="J36" s="273"/>
      <c r="K36" s="273"/>
      <c r="L36" s="273"/>
      <c r="M36" s="273"/>
      <c r="N36" s="273"/>
      <c r="O36" s="273"/>
      <c r="P36" s="277">
        <f t="shared" si="7"/>
        <v>0</v>
      </c>
      <c r="Q36" s="287"/>
      <c r="R36" s="273"/>
      <c r="S36" s="273"/>
      <c r="T36" s="273"/>
      <c r="U36" s="319"/>
      <c r="V36" s="321"/>
    </row>
    <row r="37" spans="2:23" ht="75" x14ac:dyDescent="0.3">
      <c r="B37" s="278" t="s">
        <v>32</v>
      </c>
      <c r="C37" s="279"/>
      <c r="D37" s="279">
        <f>SUM(D38:D41)</f>
        <v>1300</v>
      </c>
      <c r="E37" s="279">
        <f t="shared" ref="E37:O37" si="11">SUM(E38:E41)</f>
        <v>4300</v>
      </c>
      <c r="F37" s="279">
        <f t="shared" si="11"/>
        <v>300</v>
      </c>
      <c r="G37" s="279">
        <f t="shared" si="11"/>
        <v>300</v>
      </c>
      <c r="H37" s="279">
        <f t="shared" si="11"/>
        <v>300</v>
      </c>
      <c r="I37" s="279">
        <f t="shared" si="11"/>
        <v>300</v>
      </c>
      <c r="J37" s="279">
        <f t="shared" si="11"/>
        <v>300</v>
      </c>
      <c r="K37" s="279">
        <f t="shared" si="11"/>
        <v>300</v>
      </c>
      <c r="L37" s="279">
        <f t="shared" si="11"/>
        <v>300</v>
      </c>
      <c r="M37" s="279">
        <f t="shared" si="11"/>
        <v>300</v>
      </c>
      <c r="N37" s="279">
        <f t="shared" si="11"/>
        <v>300</v>
      </c>
      <c r="O37" s="279">
        <f t="shared" si="11"/>
        <v>300</v>
      </c>
      <c r="P37" s="277">
        <f t="shared" si="7"/>
        <v>8600</v>
      </c>
      <c r="Q37" s="287"/>
      <c r="R37" s="273"/>
      <c r="S37" s="273"/>
      <c r="T37" s="273"/>
      <c r="U37" s="318" t="s">
        <v>407</v>
      </c>
      <c r="V37" s="321" t="s">
        <v>420</v>
      </c>
      <c r="W37" s="329" t="s">
        <v>468</v>
      </c>
    </row>
    <row r="38" spans="2:23" ht="18.75" x14ac:dyDescent="0.3">
      <c r="B38" s="280" t="s">
        <v>33</v>
      </c>
      <c r="C38" s="281"/>
      <c r="D38" s="277">
        <v>300</v>
      </c>
      <c r="E38" s="277">
        <f>D38</f>
        <v>300</v>
      </c>
      <c r="F38" s="277">
        <f t="shared" ref="F38:O38" si="12">E38</f>
        <v>300</v>
      </c>
      <c r="G38" s="277">
        <f t="shared" si="12"/>
        <v>300</v>
      </c>
      <c r="H38" s="277">
        <f t="shared" si="12"/>
        <v>300</v>
      </c>
      <c r="I38" s="277">
        <f t="shared" si="12"/>
        <v>300</v>
      </c>
      <c r="J38" s="277">
        <f t="shared" si="12"/>
        <v>300</v>
      </c>
      <c r="K38" s="277">
        <f t="shared" si="12"/>
        <v>300</v>
      </c>
      <c r="L38" s="277">
        <f t="shared" si="12"/>
        <v>300</v>
      </c>
      <c r="M38" s="277">
        <f t="shared" si="12"/>
        <v>300</v>
      </c>
      <c r="N38" s="277">
        <f t="shared" si="12"/>
        <v>300</v>
      </c>
      <c r="O38" s="277">
        <f t="shared" si="12"/>
        <v>300</v>
      </c>
      <c r="P38" s="277">
        <f t="shared" si="7"/>
        <v>3600</v>
      </c>
      <c r="Q38" s="287"/>
      <c r="R38" s="273"/>
      <c r="S38" s="273"/>
      <c r="T38" s="273"/>
      <c r="U38" s="319"/>
      <c r="V38" s="321"/>
    </row>
    <row r="39" spans="2:23" ht="29.45" customHeight="1" x14ac:dyDescent="0.3">
      <c r="B39" s="280" t="s">
        <v>34</v>
      </c>
      <c r="C39" s="281"/>
      <c r="D39" s="277">
        <v>1000</v>
      </c>
      <c r="E39" s="277"/>
      <c r="F39" s="277"/>
      <c r="G39" s="277"/>
      <c r="H39" s="277"/>
      <c r="I39" s="277"/>
      <c r="J39" s="277"/>
      <c r="K39" s="277"/>
      <c r="L39" s="277"/>
      <c r="M39" s="277"/>
      <c r="N39" s="277"/>
      <c r="O39" s="277"/>
      <c r="P39" s="277">
        <f t="shared" si="7"/>
        <v>1000</v>
      </c>
      <c r="Q39" s="287"/>
      <c r="R39" s="273"/>
      <c r="S39" s="273"/>
      <c r="T39" s="273"/>
      <c r="U39" s="318" t="s">
        <v>408</v>
      </c>
      <c r="V39" s="321"/>
      <c r="W39" s="329"/>
    </row>
    <row r="40" spans="2:23" ht="35.450000000000003" customHeight="1" x14ac:dyDescent="0.3">
      <c r="B40" s="280" t="s">
        <v>304</v>
      </c>
      <c r="C40" s="281"/>
      <c r="D40" s="277"/>
      <c r="E40" s="277">
        <f>investitia!C52+investitia!C53</f>
        <v>4000</v>
      </c>
      <c r="F40" s="277"/>
      <c r="G40" s="277"/>
      <c r="H40" s="277"/>
      <c r="I40" s="277"/>
      <c r="J40" s="277"/>
      <c r="K40" s="277"/>
      <c r="L40" s="277"/>
      <c r="M40" s="277"/>
      <c r="N40" s="277"/>
      <c r="O40" s="277"/>
      <c r="P40" s="277">
        <f>SUM(E40:O40)</f>
        <v>4000</v>
      </c>
      <c r="Q40" s="287"/>
      <c r="R40" s="273"/>
      <c r="S40" s="273"/>
      <c r="T40" s="273"/>
      <c r="U40" s="318" t="s">
        <v>409</v>
      </c>
      <c r="V40" s="321"/>
      <c r="W40" s="329"/>
    </row>
    <row r="41" spans="2:23" ht="18.75" x14ac:dyDescent="0.3">
      <c r="B41" s="280"/>
      <c r="C41" s="281"/>
      <c r="D41" s="277"/>
      <c r="E41" s="277"/>
      <c r="F41" s="277"/>
      <c r="G41" s="277"/>
      <c r="H41" s="277"/>
      <c r="I41" s="277"/>
      <c r="J41" s="277"/>
      <c r="K41" s="277"/>
      <c r="L41" s="277"/>
      <c r="M41" s="277"/>
      <c r="N41" s="277"/>
      <c r="O41" s="277"/>
      <c r="P41" s="277">
        <f t="shared" si="7"/>
        <v>0</v>
      </c>
      <c r="Q41" s="287"/>
      <c r="R41" s="273"/>
      <c r="S41" s="273"/>
      <c r="T41" s="273"/>
      <c r="U41" s="319"/>
      <c r="V41" s="321"/>
    </row>
    <row r="42" spans="2:23" ht="18.75" x14ac:dyDescent="0.3">
      <c r="B42" s="280"/>
      <c r="C42" s="281"/>
      <c r="D42" s="281"/>
      <c r="E42" s="281"/>
      <c r="F42" s="281"/>
      <c r="G42" s="281"/>
      <c r="H42" s="281"/>
      <c r="I42" s="281"/>
      <c r="J42" s="281"/>
      <c r="K42" s="281"/>
      <c r="L42" s="281"/>
      <c r="M42" s="281"/>
      <c r="N42" s="281"/>
      <c r="O42" s="281"/>
      <c r="P42" s="277">
        <f t="shared" si="7"/>
        <v>0</v>
      </c>
      <c r="Q42" s="287"/>
      <c r="R42" s="273"/>
      <c r="S42" s="273"/>
      <c r="T42" s="273"/>
      <c r="U42" s="319"/>
      <c r="V42" s="321"/>
      <c r="W42" s="329"/>
    </row>
    <row r="43" spans="2:23" ht="131.25" x14ac:dyDescent="0.3">
      <c r="B43" s="278" t="s">
        <v>35</v>
      </c>
      <c r="C43" s="279"/>
      <c r="D43" s="279">
        <f>SUM(D44:D49)</f>
        <v>0</v>
      </c>
      <c r="E43" s="279">
        <f t="shared" ref="E43:O43" si="13">SUM(E44:E49)</f>
        <v>104165</v>
      </c>
      <c r="F43" s="279">
        <f t="shared" si="13"/>
        <v>6500</v>
      </c>
      <c r="G43" s="266">
        <f t="shared" si="13"/>
        <v>7000</v>
      </c>
      <c r="H43" s="266">
        <f t="shared" si="13"/>
        <v>7000</v>
      </c>
      <c r="I43" s="266">
        <f t="shared" si="13"/>
        <v>7000</v>
      </c>
      <c r="J43" s="266">
        <f t="shared" si="13"/>
        <v>7000</v>
      </c>
      <c r="K43" s="266">
        <f t="shared" si="13"/>
        <v>7000</v>
      </c>
      <c r="L43" s="266">
        <f t="shared" si="13"/>
        <v>32389</v>
      </c>
      <c r="M43" s="266">
        <f t="shared" si="13"/>
        <v>7000</v>
      </c>
      <c r="N43" s="266">
        <f t="shared" si="13"/>
        <v>7000</v>
      </c>
      <c r="O43" s="266">
        <f t="shared" si="13"/>
        <v>7000</v>
      </c>
      <c r="P43" s="334">
        <f t="shared" si="7"/>
        <v>199054</v>
      </c>
      <c r="Q43" s="287"/>
      <c r="R43" s="273"/>
      <c r="S43" s="273"/>
      <c r="T43" s="273"/>
      <c r="U43" s="318" t="s">
        <v>410</v>
      </c>
      <c r="V43" s="321" t="s">
        <v>422</v>
      </c>
      <c r="W43" s="329"/>
    </row>
    <row r="44" spans="2:23" ht="18.75" x14ac:dyDescent="0.3">
      <c r="B44" s="280" t="s">
        <v>300</v>
      </c>
      <c r="C44" s="281"/>
      <c r="D44" s="277">
        <v>0</v>
      </c>
      <c r="E44" s="322">
        <v>81815</v>
      </c>
      <c r="F44" s="277"/>
      <c r="G44" s="277"/>
      <c r="H44" s="277"/>
      <c r="I44" s="277"/>
      <c r="J44" s="277"/>
      <c r="K44" s="277"/>
      <c r="L44" s="277"/>
      <c r="M44" s="277"/>
      <c r="N44" s="277"/>
      <c r="O44" s="277"/>
      <c r="P44" s="334">
        <f t="shared" si="7"/>
        <v>81815</v>
      </c>
      <c r="Q44" s="287"/>
      <c r="R44" s="273"/>
      <c r="S44" s="273"/>
      <c r="T44" s="273"/>
      <c r="U44" s="318" t="s">
        <v>411</v>
      </c>
      <c r="V44" s="329" t="s">
        <v>469</v>
      </c>
      <c r="W44" s="329" t="s">
        <v>475</v>
      </c>
    </row>
    <row r="45" spans="2:23" ht="56.25" x14ac:dyDescent="0.3">
      <c r="B45" s="280" t="s">
        <v>476</v>
      </c>
      <c r="C45" s="281"/>
      <c r="D45" s="277">
        <v>0</v>
      </c>
      <c r="E45" s="322">
        <v>15650</v>
      </c>
      <c r="F45" s="277"/>
      <c r="G45" s="277"/>
      <c r="H45" s="277"/>
      <c r="I45" s="277"/>
      <c r="J45" s="277"/>
      <c r="K45" s="277"/>
      <c r="L45" s="322">
        <v>25389</v>
      </c>
      <c r="M45" s="277"/>
      <c r="N45" s="277"/>
      <c r="O45" s="277"/>
      <c r="P45" s="334">
        <f t="shared" si="7"/>
        <v>41039</v>
      </c>
      <c r="Q45" s="287"/>
      <c r="R45" s="273"/>
      <c r="S45" s="273"/>
      <c r="T45" s="273"/>
      <c r="U45" s="318" t="s">
        <v>412</v>
      </c>
      <c r="V45" s="329" t="s">
        <v>469</v>
      </c>
      <c r="W45" s="326" t="s">
        <v>477</v>
      </c>
    </row>
    <row r="46" spans="2:23" ht="37.5" x14ac:dyDescent="0.3">
      <c r="B46" s="280" t="s">
        <v>301</v>
      </c>
      <c r="C46" s="281"/>
      <c r="D46" s="277"/>
      <c r="E46" s="322"/>
      <c r="F46" s="322">
        <v>4000</v>
      </c>
      <c r="G46" s="322"/>
      <c r="H46" s="277"/>
      <c r="I46" s="277"/>
      <c r="J46" s="277"/>
      <c r="K46" s="277"/>
      <c r="L46" s="277"/>
      <c r="M46" s="277"/>
      <c r="N46" s="277"/>
      <c r="O46" s="277"/>
      <c r="P46" s="334">
        <f t="shared" si="7"/>
        <v>4000</v>
      </c>
      <c r="Q46" s="287"/>
      <c r="R46" s="273"/>
      <c r="S46" s="273"/>
      <c r="T46" s="273"/>
      <c r="U46" s="319"/>
      <c r="V46" s="321"/>
      <c r="W46" s="329"/>
    </row>
    <row r="47" spans="2:23" ht="45.75" x14ac:dyDescent="0.3">
      <c r="B47" s="280" t="s">
        <v>36</v>
      </c>
      <c r="C47" s="281"/>
      <c r="D47" s="277"/>
      <c r="E47" s="324"/>
      <c r="F47" s="322">
        <v>1500</v>
      </c>
      <c r="G47" s="324">
        <v>3000</v>
      </c>
      <c r="H47" s="324">
        <v>3000</v>
      </c>
      <c r="I47" s="324">
        <v>3000</v>
      </c>
      <c r="J47" s="324">
        <v>3000</v>
      </c>
      <c r="K47" s="324">
        <v>3000</v>
      </c>
      <c r="L47" s="324">
        <v>3000</v>
      </c>
      <c r="M47" s="324">
        <v>3000</v>
      </c>
      <c r="N47" s="324">
        <v>3000</v>
      </c>
      <c r="O47" s="324">
        <v>3000</v>
      </c>
      <c r="P47" s="334">
        <f t="shared" si="7"/>
        <v>28500</v>
      </c>
      <c r="Q47" s="287"/>
      <c r="R47" s="273"/>
      <c r="S47" s="273"/>
      <c r="T47" s="273"/>
      <c r="U47" s="318" t="s">
        <v>413</v>
      </c>
      <c r="V47" s="321"/>
      <c r="W47" s="332" t="s">
        <v>428</v>
      </c>
    </row>
    <row r="48" spans="2:23" ht="18.75" x14ac:dyDescent="0.3">
      <c r="B48" s="280" t="s">
        <v>37</v>
      </c>
      <c r="C48" s="281"/>
      <c r="D48" s="277"/>
      <c r="E48" s="324"/>
      <c r="F48" s="322">
        <v>1000</v>
      </c>
      <c r="G48" s="324">
        <v>4000</v>
      </c>
      <c r="H48" s="324">
        <v>4000</v>
      </c>
      <c r="I48" s="324">
        <v>4000</v>
      </c>
      <c r="J48" s="324">
        <v>4000</v>
      </c>
      <c r="K48" s="324">
        <v>4000</v>
      </c>
      <c r="L48" s="324">
        <v>4000</v>
      </c>
      <c r="M48" s="324">
        <v>4000</v>
      </c>
      <c r="N48" s="324">
        <v>4000</v>
      </c>
      <c r="O48" s="324">
        <v>4000</v>
      </c>
      <c r="P48" s="334">
        <f t="shared" si="7"/>
        <v>37000</v>
      </c>
      <c r="Q48" s="287"/>
      <c r="R48" s="273"/>
      <c r="S48" s="273"/>
      <c r="T48" s="273"/>
      <c r="U48" s="319"/>
      <c r="V48" s="321"/>
      <c r="W48" s="329" t="s">
        <v>468</v>
      </c>
    </row>
    <row r="49" spans="2:23" ht="18.75" x14ac:dyDescent="0.3">
      <c r="B49" s="280" t="s">
        <v>302</v>
      </c>
      <c r="C49" s="281"/>
      <c r="D49" s="277"/>
      <c r="E49" s="277">
        <v>6700</v>
      </c>
      <c r="F49" s="277"/>
      <c r="G49" s="277"/>
      <c r="H49" s="277"/>
      <c r="I49" s="277"/>
      <c r="J49" s="277"/>
      <c r="K49" s="277"/>
      <c r="L49" s="277"/>
      <c r="M49" s="277"/>
      <c r="N49" s="277"/>
      <c r="O49" s="277"/>
      <c r="P49" s="334">
        <f t="shared" si="7"/>
        <v>6700</v>
      </c>
      <c r="Q49" s="287"/>
      <c r="R49" s="273"/>
      <c r="S49" s="273"/>
      <c r="T49" s="273"/>
      <c r="U49" s="319"/>
      <c r="V49" s="321"/>
      <c r="W49" s="326" t="s">
        <v>468</v>
      </c>
    </row>
    <row r="50" spans="2:23" ht="18.75" x14ac:dyDescent="0.3">
      <c r="B50" s="274"/>
      <c r="C50" s="273"/>
      <c r="D50" s="273"/>
      <c r="E50" s="273"/>
      <c r="F50" s="273"/>
      <c r="G50" s="273"/>
      <c r="H50" s="273"/>
      <c r="I50" s="273"/>
      <c r="J50" s="273"/>
      <c r="K50" s="273"/>
      <c r="L50" s="273"/>
      <c r="M50" s="273"/>
      <c r="N50" s="273"/>
      <c r="O50" s="273"/>
      <c r="P50" s="277">
        <f t="shared" si="7"/>
        <v>0</v>
      </c>
      <c r="Q50" s="287"/>
      <c r="R50" s="273"/>
      <c r="S50" s="273"/>
      <c r="T50" s="273"/>
      <c r="U50" s="319"/>
      <c r="V50" s="321"/>
      <c r="W50" s="329"/>
    </row>
    <row r="51" spans="2:23" ht="93.75" x14ac:dyDescent="0.3">
      <c r="B51" s="278" t="s">
        <v>38</v>
      </c>
      <c r="C51" s="279"/>
      <c r="D51" s="279">
        <f>SUM(D52:D56)</f>
        <v>0</v>
      </c>
      <c r="E51" s="279">
        <f t="shared" ref="E51:O51" si="14">SUM(E52:E56)</f>
        <v>955</v>
      </c>
      <c r="F51" s="279">
        <f t="shared" si="14"/>
        <v>955</v>
      </c>
      <c r="G51" s="279">
        <f t="shared" si="14"/>
        <v>955</v>
      </c>
      <c r="H51" s="279">
        <f t="shared" si="14"/>
        <v>955</v>
      </c>
      <c r="I51" s="279">
        <f t="shared" si="14"/>
        <v>955</v>
      </c>
      <c r="J51" s="279">
        <f t="shared" si="14"/>
        <v>955</v>
      </c>
      <c r="K51" s="279">
        <f t="shared" si="14"/>
        <v>955</v>
      </c>
      <c r="L51" s="279">
        <f t="shared" si="14"/>
        <v>955</v>
      </c>
      <c r="M51" s="279">
        <f t="shared" si="14"/>
        <v>955</v>
      </c>
      <c r="N51" s="279">
        <f t="shared" si="14"/>
        <v>955</v>
      </c>
      <c r="O51" s="279">
        <f t="shared" si="14"/>
        <v>955</v>
      </c>
      <c r="P51" s="277">
        <f t="shared" si="7"/>
        <v>10505</v>
      </c>
      <c r="Q51" s="287"/>
      <c r="R51" s="273"/>
      <c r="S51" s="273"/>
      <c r="T51" s="273"/>
      <c r="U51" s="318" t="s">
        <v>414</v>
      </c>
      <c r="V51" s="321" t="s">
        <v>420</v>
      </c>
      <c r="W51" s="329"/>
    </row>
    <row r="52" spans="2:23" ht="18.75" x14ac:dyDescent="0.3">
      <c r="B52" s="280" t="s">
        <v>39</v>
      </c>
      <c r="C52" s="281"/>
      <c r="D52" s="277"/>
      <c r="E52" s="322">
        <v>250</v>
      </c>
      <c r="F52" s="322">
        <v>250</v>
      </c>
      <c r="G52" s="322">
        <v>250</v>
      </c>
      <c r="H52" s="322">
        <v>250</v>
      </c>
      <c r="I52" s="322">
        <v>250</v>
      </c>
      <c r="J52" s="322">
        <v>250</v>
      </c>
      <c r="K52" s="322">
        <v>250</v>
      </c>
      <c r="L52" s="322">
        <v>250</v>
      </c>
      <c r="M52" s="322">
        <v>250</v>
      </c>
      <c r="N52" s="322">
        <v>250</v>
      </c>
      <c r="O52" s="322">
        <v>250</v>
      </c>
      <c r="P52" s="277">
        <f t="shared" si="7"/>
        <v>2750</v>
      </c>
      <c r="Q52" s="287"/>
      <c r="R52" s="273"/>
      <c r="S52" s="273"/>
      <c r="T52" s="273"/>
      <c r="U52" s="319"/>
      <c r="V52" s="321"/>
      <c r="W52" s="329" t="s">
        <v>473</v>
      </c>
    </row>
    <row r="53" spans="2:23" ht="18.75" x14ac:dyDescent="0.3">
      <c r="B53" s="280" t="s">
        <v>40</v>
      </c>
      <c r="C53" s="281"/>
      <c r="D53" s="277"/>
      <c r="E53" s="322">
        <v>705</v>
      </c>
      <c r="F53" s="322">
        <v>705</v>
      </c>
      <c r="G53" s="322">
        <v>705</v>
      </c>
      <c r="H53" s="322">
        <v>705</v>
      </c>
      <c r="I53" s="322">
        <v>705</v>
      </c>
      <c r="J53" s="322">
        <v>705</v>
      </c>
      <c r="K53" s="322">
        <v>705</v>
      </c>
      <c r="L53" s="322">
        <v>705</v>
      </c>
      <c r="M53" s="322">
        <v>705</v>
      </c>
      <c r="N53" s="322">
        <v>705</v>
      </c>
      <c r="O53" s="322">
        <v>705</v>
      </c>
      <c r="P53" s="277">
        <f t="shared" si="7"/>
        <v>7755</v>
      </c>
      <c r="Q53" s="287"/>
      <c r="R53" s="273"/>
      <c r="S53" s="273"/>
      <c r="T53" s="273"/>
      <c r="U53" s="319"/>
      <c r="V53" s="321"/>
      <c r="W53" s="326" t="s">
        <v>472</v>
      </c>
    </row>
    <row r="54" spans="2:23" ht="18.75" x14ac:dyDescent="0.3">
      <c r="B54" s="280" t="s">
        <v>41</v>
      </c>
      <c r="C54" s="281"/>
      <c r="D54" s="277"/>
      <c r="E54" s="277"/>
      <c r="F54" s="277"/>
      <c r="G54" s="277"/>
      <c r="H54" s="277"/>
      <c r="I54" s="277"/>
      <c r="J54" s="277"/>
      <c r="K54" s="277"/>
      <c r="L54" s="277"/>
      <c r="M54" s="277"/>
      <c r="N54" s="277"/>
      <c r="O54" s="277"/>
      <c r="P54" s="277">
        <f t="shared" si="7"/>
        <v>0</v>
      </c>
      <c r="Q54" s="287"/>
      <c r="R54" s="273"/>
      <c r="S54" s="273"/>
      <c r="T54" s="273"/>
      <c r="U54" s="319"/>
      <c r="V54" s="321"/>
      <c r="W54" s="329"/>
    </row>
    <row r="55" spans="2:23" ht="18.75" x14ac:dyDescent="0.3">
      <c r="B55" s="280" t="s">
        <v>42</v>
      </c>
      <c r="C55" s="281"/>
      <c r="D55" s="277"/>
      <c r="E55" s="277"/>
      <c r="F55" s="277"/>
      <c r="G55" s="277"/>
      <c r="H55" s="277"/>
      <c r="I55" s="277"/>
      <c r="J55" s="277"/>
      <c r="K55" s="277"/>
      <c r="L55" s="277"/>
      <c r="M55" s="277"/>
      <c r="N55" s="277"/>
      <c r="O55" s="277"/>
      <c r="P55" s="277">
        <f t="shared" si="7"/>
        <v>0</v>
      </c>
      <c r="Q55" s="287"/>
      <c r="R55" s="273"/>
      <c r="S55" s="273"/>
      <c r="T55" s="273"/>
      <c r="U55" s="319"/>
      <c r="V55" s="321"/>
      <c r="W55" s="329"/>
    </row>
    <row r="56" spans="2:23" ht="18.75" x14ac:dyDescent="0.3">
      <c r="B56" s="280" t="s">
        <v>43</v>
      </c>
      <c r="C56" s="281"/>
      <c r="D56" s="277"/>
      <c r="E56" s="277"/>
      <c r="F56" s="277"/>
      <c r="G56" s="277"/>
      <c r="H56" s="277"/>
      <c r="I56" s="277"/>
      <c r="J56" s="277"/>
      <c r="K56" s="277"/>
      <c r="L56" s="277"/>
      <c r="M56" s="277"/>
      <c r="N56" s="277"/>
      <c r="O56" s="277"/>
      <c r="P56" s="277">
        <f t="shared" si="7"/>
        <v>0</v>
      </c>
      <c r="Q56" s="287"/>
      <c r="R56" s="273"/>
      <c r="S56" s="273"/>
      <c r="T56" s="273"/>
      <c r="U56" s="319"/>
      <c r="V56" s="321"/>
      <c r="W56" s="329"/>
    </row>
    <row r="57" spans="2:23" ht="18.75" x14ac:dyDescent="0.3">
      <c r="B57" s="274"/>
      <c r="C57" s="273"/>
      <c r="D57" s="273"/>
      <c r="E57" s="273"/>
      <c r="F57" s="273"/>
      <c r="G57" s="273"/>
      <c r="H57" s="273"/>
      <c r="I57" s="273"/>
      <c r="J57" s="273"/>
      <c r="K57" s="273"/>
      <c r="L57" s="273"/>
      <c r="M57" s="273"/>
      <c r="N57" s="273"/>
      <c r="O57" s="273"/>
      <c r="P57" s="277">
        <f t="shared" si="7"/>
        <v>0</v>
      </c>
      <c r="Q57" s="287"/>
      <c r="R57" s="273"/>
      <c r="S57" s="273"/>
      <c r="T57" s="273"/>
      <c r="U57" s="319"/>
      <c r="V57" s="321"/>
      <c r="W57" s="329"/>
    </row>
    <row r="58" spans="2:23" ht="131.25" x14ac:dyDescent="0.3">
      <c r="B58" s="278" t="s">
        <v>44</v>
      </c>
      <c r="C58" s="281"/>
      <c r="D58" s="279">
        <f>SUM(D59:D62)</f>
        <v>0</v>
      </c>
      <c r="E58" s="279">
        <f t="shared" ref="E58:O58" si="15">SUM(E59:E62)</f>
        <v>0</v>
      </c>
      <c r="F58" s="279">
        <f t="shared" si="15"/>
        <v>0</v>
      </c>
      <c r="G58" s="279">
        <f t="shared" si="15"/>
        <v>0</v>
      </c>
      <c r="H58" s="279">
        <f t="shared" si="15"/>
        <v>0</v>
      </c>
      <c r="I58" s="279">
        <f t="shared" si="15"/>
        <v>0</v>
      </c>
      <c r="J58" s="279">
        <f t="shared" si="15"/>
        <v>0</v>
      </c>
      <c r="K58" s="279">
        <f t="shared" si="15"/>
        <v>0</v>
      </c>
      <c r="L58" s="279">
        <f t="shared" si="15"/>
        <v>0</v>
      </c>
      <c r="M58" s="279">
        <f t="shared" si="15"/>
        <v>0</v>
      </c>
      <c r="N58" s="279">
        <f t="shared" si="15"/>
        <v>0</v>
      </c>
      <c r="O58" s="279">
        <f t="shared" si="15"/>
        <v>0</v>
      </c>
      <c r="P58" s="277">
        <f t="shared" si="7"/>
        <v>0</v>
      </c>
      <c r="Q58" s="287"/>
      <c r="R58" s="273"/>
      <c r="S58" s="273"/>
      <c r="T58" s="273"/>
      <c r="U58" s="319"/>
      <c r="V58" s="321"/>
      <c r="W58" s="329"/>
    </row>
    <row r="59" spans="2:23" ht="18.75" x14ac:dyDescent="0.3">
      <c r="B59" s="280" t="s">
        <v>45</v>
      </c>
      <c r="C59" s="281"/>
      <c r="D59" s="277"/>
      <c r="E59" s="277"/>
      <c r="F59" s="277"/>
      <c r="G59" s="277"/>
      <c r="H59" s="277"/>
      <c r="I59" s="277"/>
      <c r="J59" s="277"/>
      <c r="K59" s="277"/>
      <c r="L59" s="277"/>
      <c r="M59" s="277"/>
      <c r="N59" s="277"/>
      <c r="O59" s="277"/>
      <c r="P59" s="277">
        <f t="shared" si="7"/>
        <v>0</v>
      </c>
      <c r="Q59" s="287"/>
      <c r="R59" s="273"/>
      <c r="S59" s="273"/>
      <c r="T59" s="273"/>
      <c r="U59" s="319"/>
      <c r="V59" s="321"/>
    </row>
    <row r="60" spans="2:23" ht="18.75" x14ac:dyDescent="0.3">
      <c r="B60" s="280" t="s">
        <v>46</v>
      </c>
      <c r="C60" s="281"/>
      <c r="D60" s="277"/>
      <c r="E60" s="277"/>
      <c r="F60" s="277"/>
      <c r="G60" s="277"/>
      <c r="H60" s="277"/>
      <c r="I60" s="277"/>
      <c r="J60" s="277"/>
      <c r="K60" s="277"/>
      <c r="L60" s="277"/>
      <c r="M60" s="277"/>
      <c r="N60" s="277"/>
      <c r="O60" s="277"/>
      <c r="P60" s="277">
        <f t="shared" si="7"/>
        <v>0</v>
      </c>
      <c r="Q60" s="287"/>
      <c r="R60" s="273"/>
      <c r="S60" s="273"/>
      <c r="T60" s="273"/>
      <c r="U60" s="319"/>
      <c r="V60" s="321"/>
      <c r="W60" s="329"/>
    </row>
    <row r="61" spans="2:23" ht="18.75" x14ac:dyDescent="0.3">
      <c r="B61" s="280" t="s">
        <v>295</v>
      </c>
      <c r="C61" s="281"/>
      <c r="D61" s="277"/>
      <c r="E61" s="277"/>
      <c r="F61" s="277"/>
      <c r="G61" s="277"/>
      <c r="H61" s="277"/>
      <c r="I61" s="277"/>
      <c r="J61" s="277"/>
      <c r="K61" s="277"/>
      <c r="L61" s="277"/>
      <c r="M61" s="277"/>
      <c r="N61" s="277"/>
      <c r="O61" s="277"/>
      <c r="P61" s="277">
        <f t="shared" si="7"/>
        <v>0</v>
      </c>
      <c r="Q61" s="287"/>
      <c r="R61" s="273"/>
      <c r="S61" s="273"/>
      <c r="T61" s="273"/>
      <c r="U61" s="319"/>
      <c r="V61" s="321"/>
      <c r="W61" s="329"/>
    </row>
    <row r="62" spans="2:23" ht="18.75" x14ac:dyDescent="0.3">
      <c r="B62" s="280" t="s">
        <v>47</v>
      </c>
      <c r="C62" s="281"/>
      <c r="D62" s="277"/>
      <c r="E62" s="277"/>
      <c r="F62" s="277"/>
      <c r="G62" s="277"/>
      <c r="H62" s="277"/>
      <c r="I62" s="277"/>
      <c r="J62" s="277"/>
      <c r="K62" s="277"/>
      <c r="L62" s="277"/>
      <c r="M62" s="277"/>
      <c r="N62" s="277"/>
      <c r="O62" s="277"/>
      <c r="P62" s="277">
        <f t="shared" si="7"/>
        <v>0</v>
      </c>
      <c r="Q62" s="287"/>
      <c r="R62" s="273"/>
      <c r="S62" s="273"/>
      <c r="T62" s="273"/>
      <c r="U62" s="319"/>
      <c r="V62" s="321"/>
      <c r="W62" s="329"/>
    </row>
    <row r="63" spans="2:23" ht="18.75" x14ac:dyDescent="0.3">
      <c r="B63" s="274"/>
      <c r="C63" s="281"/>
      <c r="D63" s="273"/>
      <c r="E63" s="273"/>
      <c r="F63" s="273"/>
      <c r="G63" s="273"/>
      <c r="H63" s="273"/>
      <c r="I63" s="273"/>
      <c r="J63" s="273"/>
      <c r="K63" s="273"/>
      <c r="L63" s="273"/>
      <c r="M63" s="273"/>
      <c r="N63" s="273"/>
      <c r="O63" s="273"/>
      <c r="P63" s="277">
        <f t="shared" si="7"/>
        <v>0</v>
      </c>
      <c r="Q63" s="287"/>
      <c r="R63" s="273"/>
      <c r="S63" s="273"/>
      <c r="T63" s="273"/>
      <c r="U63" s="319"/>
      <c r="V63" s="321"/>
      <c r="W63" s="329"/>
    </row>
    <row r="64" spans="2:23" ht="75.75" x14ac:dyDescent="0.3">
      <c r="B64" s="278" t="s">
        <v>48</v>
      </c>
      <c r="C64" s="281"/>
      <c r="D64" s="279">
        <f>SUM(D65:D68)</f>
        <v>0</v>
      </c>
      <c r="E64" s="279">
        <f t="shared" ref="E64:O64" si="16">SUM(E65:E68)</f>
        <v>0</v>
      </c>
      <c r="F64" s="279">
        <f t="shared" si="16"/>
        <v>0</v>
      </c>
      <c r="G64" s="279">
        <f t="shared" si="16"/>
        <v>300</v>
      </c>
      <c r="H64" s="279">
        <f t="shared" si="16"/>
        <v>300</v>
      </c>
      <c r="I64" s="279">
        <f t="shared" si="16"/>
        <v>300</v>
      </c>
      <c r="J64" s="279">
        <f t="shared" si="16"/>
        <v>300</v>
      </c>
      <c r="K64" s="279">
        <f t="shared" si="16"/>
        <v>300</v>
      </c>
      <c r="L64" s="279">
        <f t="shared" si="16"/>
        <v>300</v>
      </c>
      <c r="M64" s="279">
        <f t="shared" si="16"/>
        <v>300</v>
      </c>
      <c r="N64" s="279">
        <f t="shared" si="16"/>
        <v>300</v>
      </c>
      <c r="O64" s="279">
        <f t="shared" si="16"/>
        <v>300</v>
      </c>
      <c r="P64" s="277">
        <f t="shared" si="7"/>
        <v>2700</v>
      </c>
      <c r="Q64" s="287"/>
      <c r="R64" s="273"/>
      <c r="S64" s="273"/>
      <c r="T64" s="273"/>
      <c r="U64" s="318" t="s">
        <v>415</v>
      </c>
      <c r="V64" s="321" t="s">
        <v>421</v>
      </c>
      <c r="W64" s="330" t="s">
        <v>427</v>
      </c>
    </row>
    <row r="65" spans="2:23" ht="18.75" x14ac:dyDescent="0.3">
      <c r="B65" s="280" t="s">
        <v>49</v>
      </c>
      <c r="C65" s="281"/>
      <c r="D65" s="277"/>
      <c r="E65" s="322">
        <v>0</v>
      </c>
      <c r="F65" s="322">
        <v>0</v>
      </c>
      <c r="G65" s="277">
        <v>100</v>
      </c>
      <c r="H65" s="277">
        <v>100</v>
      </c>
      <c r="I65" s="277">
        <v>100</v>
      </c>
      <c r="J65" s="277">
        <v>100</v>
      </c>
      <c r="K65" s="277">
        <v>100</v>
      </c>
      <c r="L65" s="277">
        <v>100</v>
      </c>
      <c r="M65" s="277">
        <v>100</v>
      </c>
      <c r="N65" s="277">
        <v>100</v>
      </c>
      <c r="O65" s="277">
        <v>100</v>
      </c>
      <c r="P65" s="277">
        <f t="shared" si="7"/>
        <v>900</v>
      </c>
      <c r="Q65" s="287"/>
      <c r="R65" s="273"/>
      <c r="S65" s="273"/>
      <c r="T65" s="273"/>
      <c r="U65" s="319"/>
      <c r="V65" s="321"/>
      <c r="W65" s="329" t="s">
        <v>471</v>
      </c>
    </row>
    <row r="66" spans="2:23" ht="18.75" x14ac:dyDescent="0.3">
      <c r="B66" s="280" t="s">
        <v>50</v>
      </c>
      <c r="C66" s="281"/>
      <c r="D66" s="277"/>
      <c r="E66" s="322">
        <v>0</v>
      </c>
      <c r="F66" s="322">
        <v>0</v>
      </c>
      <c r="G66" s="277">
        <v>0</v>
      </c>
      <c r="H66" s="277">
        <v>0</v>
      </c>
      <c r="I66" s="277">
        <v>0</v>
      </c>
      <c r="J66" s="277">
        <v>0</v>
      </c>
      <c r="K66" s="277">
        <v>0</v>
      </c>
      <c r="L66" s="277">
        <v>0</v>
      </c>
      <c r="M66" s="277">
        <v>0</v>
      </c>
      <c r="N66" s="277">
        <v>0</v>
      </c>
      <c r="O66" s="277">
        <v>0</v>
      </c>
      <c r="P66" s="277">
        <f t="shared" si="7"/>
        <v>0</v>
      </c>
      <c r="Q66" s="287"/>
      <c r="R66" s="273"/>
      <c r="S66" s="273"/>
      <c r="T66" s="273"/>
      <c r="U66" s="319"/>
      <c r="V66" s="321"/>
      <c r="W66" s="329"/>
    </row>
    <row r="67" spans="2:23" ht="18.75" x14ac:dyDescent="0.3">
      <c r="B67" s="280" t="s">
        <v>51</v>
      </c>
      <c r="C67" s="281"/>
      <c r="D67" s="277"/>
      <c r="E67" s="322">
        <v>0</v>
      </c>
      <c r="F67" s="322">
        <v>0</v>
      </c>
      <c r="G67" s="277">
        <v>0</v>
      </c>
      <c r="H67" s="277">
        <v>0</v>
      </c>
      <c r="I67" s="277">
        <v>0</v>
      </c>
      <c r="J67" s="277">
        <v>0</v>
      </c>
      <c r="K67" s="277">
        <v>0</v>
      </c>
      <c r="L67" s="277">
        <v>0</v>
      </c>
      <c r="M67" s="277">
        <v>0</v>
      </c>
      <c r="N67" s="277">
        <v>0</v>
      </c>
      <c r="O67" s="277">
        <v>0</v>
      </c>
      <c r="P67" s="277">
        <f t="shared" si="7"/>
        <v>0</v>
      </c>
      <c r="Q67" s="287"/>
      <c r="R67" s="273"/>
      <c r="S67" s="273"/>
      <c r="T67" s="273"/>
      <c r="U67" s="319"/>
      <c r="V67" s="321"/>
      <c r="W67" s="329"/>
    </row>
    <row r="68" spans="2:23" ht="18.75" x14ac:dyDescent="0.3">
      <c r="B68" s="280" t="s">
        <v>52</v>
      </c>
      <c r="C68" s="281"/>
      <c r="D68" s="277"/>
      <c r="E68" s="322">
        <v>0</v>
      </c>
      <c r="F68" s="277">
        <v>0</v>
      </c>
      <c r="G68" s="322">
        <v>200</v>
      </c>
      <c r="H68" s="322">
        <v>200</v>
      </c>
      <c r="I68" s="322">
        <v>200</v>
      </c>
      <c r="J68" s="322">
        <v>200</v>
      </c>
      <c r="K68" s="322">
        <v>200</v>
      </c>
      <c r="L68" s="322">
        <v>200</v>
      </c>
      <c r="M68" s="322">
        <v>200</v>
      </c>
      <c r="N68" s="322">
        <v>200</v>
      </c>
      <c r="O68" s="322">
        <v>200</v>
      </c>
      <c r="P68" s="277">
        <f t="shared" si="7"/>
        <v>1800</v>
      </c>
      <c r="Q68" s="287"/>
      <c r="R68" s="273"/>
      <c r="S68" s="273"/>
      <c r="T68" s="273"/>
      <c r="U68" s="319"/>
      <c r="V68" s="321"/>
      <c r="W68" s="329" t="s">
        <v>470</v>
      </c>
    </row>
    <row r="69" spans="2:23" ht="18.75" x14ac:dyDescent="0.3">
      <c r="B69" s="274"/>
      <c r="C69" s="281"/>
      <c r="D69" s="273"/>
      <c r="E69" s="273"/>
      <c r="F69" s="273"/>
      <c r="G69" s="273"/>
      <c r="H69" s="273"/>
      <c r="I69" s="273"/>
      <c r="J69" s="273"/>
      <c r="K69" s="273"/>
      <c r="L69" s="273"/>
      <c r="M69" s="273"/>
      <c r="N69" s="273"/>
      <c r="O69" s="273"/>
      <c r="P69" s="277">
        <f t="shared" si="7"/>
        <v>0</v>
      </c>
      <c r="Q69" s="287"/>
      <c r="R69" s="273"/>
      <c r="S69" s="273"/>
      <c r="T69" s="273"/>
      <c r="U69" s="319"/>
      <c r="V69" s="321"/>
      <c r="W69" s="329"/>
    </row>
    <row r="70" spans="2:23" ht="37.5" x14ac:dyDescent="0.3">
      <c r="B70" s="278" t="s">
        <v>53</v>
      </c>
      <c r="C70" s="281"/>
      <c r="D70" s="279">
        <f>D71</f>
        <v>0</v>
      </c>
      <c r="E70" s="279">
        <f t="shared" ref="E70:O70" si="17">E71</f>
        <v>0</v>
      </c>
      <c r="F70" s="279">
        <f t="shared" si="17"/>
        <v>0</v>
      </c>
      <c r="G70" s="279">
        <f t="shared" si="17"/>
        <v>0</v>
      </c>
      <c r="H70" s="279">
        <f t="shared" si="17"/>
        <v>0</v>
      </c>
      <c r="I70" s="279">
        <f t="shared" si="17"/>
        <v>0</v>
      </c>
      <c r="J70" s="279">
        <f t="shared" si="17"/>
        <v>0</v>
      </c>
      <c r="K70" s="279">
        <f t="shared" si="17"/>
        <v>0</v>
      </c>
      <c r="L70" s="279">
        <f t="shared" si="17"/>
        <v>0</v>
      </c>
      <c r="M70" s="279">
        <f t="shared" si="17"/>
        <v>0</v>
      </c>
      <c r="N70" s="279">
        <f t="shared" si="17"/>
        <v>0</v>
      </c>
      <c r="O70" s="279">
        <f t="shared" si="17"/>
        <v>0</v>
      </c>
      <c r="P70" s="277">
        <f t="shared" si="7"/>
        <v>0</v>
      </c>
      <c r="Q70" s="287"/>
      <c r="R70" s="273"/>
      <c r="S70" s="273"/>
      <c r="T70" s="273"/>
      <c r="U70" s="319"/>
      <c r="V70" s="321"/>
      <c r="W70" s="329"/>
    </row>
    <row r="71" spans="2:23" ht="18.75" x14ac:dyDescent="0.3">
      <c r="B71" s="280" t="s">
        <v>296</v>
      </c>
      <c r="C71" s="281"/>
      <c r="D71" s="277"/>
      <c r="E71" s="277"/>
      <c r="F71" s="277"/>
      <c r="G71" s="277"/>
      <c r="H71" s="277"/>
      <c r="I71" s="277"/>
      <c r="J71" s="277"/>
      <c r="K71" s="277"/>
      <c r="L71" s="277"/>
      <c r="M71" s="277"/>
      <c r="N71" s="277"/>
      <c r="O71" s="277"/>
      <c r="P71" s="277">
        <f t="shared" si="7"/>
        <v>0</v>
      </c>
      <c r="Q71" s="287"/>
      <c r="R71" s="273"/>
      <c r="S71" s="273"/>
      <c r="T71" s="273"/>
      <c r="U71" s="319"/>
      <c r="V71" s="321"/>
      <c r="W71" s="329"/>
    </row>
    <row r="72" spans="2:23" ht="18.75" x14ac:dyDescent="0.3">
      <c r="B72" s="274"/>
      <c r="C72" s="281"/>
      <c r="D72" s="273"/>
      <c r="E72" s="273"/>
      <c r="F72" s="273"/>
      <c r="G72" s="273"/>
      <c r="H72" s="273"/>
      <c r="I72" s="273"/>
      <c r="J72" s="273"/>
      <c r="K72" s="273"/>
      <c r="L72" s="273"/>
      <c r="M72" s="273"/>
      <c r="N72" s="273"/>
      <c r="O72" s="273"/>
      <c r="P72" s="277">
        <f t="shared" si="7"/>
        <v>0</v>
      </c>
      <c r="Q72" s="287"/>
      <c r="R72" s="273"/>
      <c r="S72" s="273"/>
      <c r="T72" s="273"/>
      <c r="U72" s="319"/>
      <c r="V72" s="321"/>
      <c r="W72" s="329"/>
    </row>
    <row r="73" spans="2:23" ht="75" x14ac:dyDescent="0.3">
      <c r="B73" s="278" t="s">
        <v>54</v>
      </c>
      <c r="C73" s="281"/>
      <c r="D73" s="279">
        <f>SUM(D74)</f>
        <v>0</v>
      </c>
      <c r="E73" s="279">
        <f t="shared" ref="E73:O73" si="18">SUM(E74)</f>
        <v>0</v>
      </c>
      <c r="F73" s="279">
        <f t="shared" si="18"/>
        <v>0</v>
      </c>
      <c r="G73" s="279">
        <f t="shared" si="18"/>
        <v>0</v>
      </c>
      <c r="H73" s="279">
        <f t="shared" si="18"/>
        <v>0</v>
      </c>
      <c r="I73" s="279">
        <f t="shared" si="18"/>
        <v>0</v>
      </c>
      <c r="J73" s="279">
        <f t="shared" si="18"/>
        <v>0</v>
      </c>
      <c r="K73" s="279">
        <f t="shared" si="18"/>
        <v>0</v>
      </c>
      <c r="L73" s="279">
        <f t="shared" si="18"/>
        <v>0</v>
      </c>
      <c r="M73" s="279">
        <f t="shared" si="18"/>
        <v>0</v>
      </c>
      <c r="N73" s="279">
        <f t="shared" si="18"/>
        <v>0</v>
      </c>
      <c r="O73" s="279">
        <f t="shared" si="18"/>
        <v>0</v>
      </c>
      <c r="P73" s="277">
        <f t="shared" si="7"/>
        <v>0</v>
      </c>
      <c r="Q73" s="287"/>
      <c r="R73" s="273"/>
      <c r="S73" s="273"/>
      <c r="T73" s="273"/>
      <c r="U73" s="319"/>
      <c r="V73" s="321"/>
      <c r="W73" s="329"/>
    </row>
    <row r="74" spans="2:23" ht="18.75" x14ac:dyDescent="0.3">
      <c r="B74" s="280" t="s">
        <v>55</v>
      </c>
      <c r="C74" s="281"/>
      <c r="D74" s="277"/>
      <c r="E74" s="277"/>
      <c r="F74" s="277"/>
      <c r="G74" s="277"/>
      <c r="H74" s="277"/>
      <c r="I74" s="277"/>
      <c r="J74" s="277"/>
      <c r="K74" s="277"/>
      <c r="L74" s="277"/>
      <c r="M74" s="277"/>
      <c r="N74" s="277"/>
      <c r="O74" s="277"/>
      <c r="P74" s="277">
        <f t="shared" si="7"/>
        <v>0</v>
      </c>
      <c r="Q74" s="287"/>
      <c r="R74" s="281"/>
      <c r="S74" s="281"/>
      <c r="T74" s="281"/>
      <c r="U74" s="319"/>
      <c r="V74" s="321"/>
      <c r="W74" s="329"/>
    </row>
    <row r="75" spans="2:23" ht="18.75" x14ac:dyDescent="0.3">
      <c r="B75" s="274"/>
      <c r="C75" s="281"/>
      <c r="D75" s="273"/>
      <c r="E75" s="273"/>
      <c r="F75" s="273"/>
      <c r="G75" s="273"/>
      <c r="H75" s="273"/>
      <c r="I75" s="273"/>
      <c r="J75" s="273"/>
      <c r="K75" s="273"/>
      <c r="L75" s="273"/>
      <c r="M75" s="273"/>
      <c r="N75" s="273"/>
      <c r="O75" s="273"/>
      <c r="P75" s="277">
        <f t="shared" si="7"/>
        <v>0</v>
      </c>
      <c r="Q75" s="287"/>
      <c r="R75" s="273"/>
      <c r="S75" s="273"/>
      <c r="T75" s="273"/>
      <c r="U75" s="319"/>
      <c r="V75" s="321"/>
      <c r="W75" s="329"/>
    </row>
    <row r="76" spans="2:23" ht="37.5" x14ac:dyDescent="0.3">
      <c r="B76" s="278" t="s">
        <v>56</v>
      </c>
      <c r="C76" s="281"/>
      <c r="D76" s="279">
        <f>D77</f>
        <v>0</v>
      </c>
      <c r="E76" s="279">
        <f t="shared" ref="E76:O76" si="19">E77</f>
        <v>0</v>
      </c>
      <c r="F76" s="279">
        <f t="shared" si="19"/>
        <v>0</v>
      </c>
      <c r="G76" s="279">
        <f t="shared" si="19"/>
        <v>0</v>
      </c>
      <c r="H76" s="279">
        <f t="shared" si="19"/>
        <v>0</v>
      </c>
      <c r="I76" s="279">
        <f t="shared" si="19"/>
        <v>0</v>
      </c>
      <c r="J76" s="279">
        <f t="shared" si="19"/>
        <v>0</v>
      </c>
      <c r="K76" s="279">
        <f t="shared" si="19"/>
        <v>0</v>
      </c>
      <c r="L76" s="279">
        <f t="shared" si="19"/>
        <v>0</v>
      </c>
      <c r="M76" s="279">
        <f t="shared" si="19"/>
        <v>0</v>
      </c>
      <c r="N76" s="279">
        <f t="shared" si="19"/>
        <v>0</v>
      </c>
      <c r="O76" s="279">
        <f t="shared" si="19"/>
        <v>0</v>
      </c>
      <c r="P76" s="277">
        <f t="shared" si="7"/>
        <v>0</v>
      </c>
      <c r="Q76" s="287"/>
      <c r="R76" s="273"/>
      <c r="S76" s="273"/>
      <c r="T76" s="273"/>
      <c r="U76" s="319"/>
      <c r="V76" s="321"/>
      <c r="W76" s="329"/>
    </row>
    <row r="77" spans="2:23" ht="18.75" x14ac:dyDescent="0.3">
      <c r="B77" s="280" t="s">
        <v>57</v>
      </c>
      <c r="C77" s="281"/>
      <c r="D77" s="277"/>
      <c r="E77" s="277"/>
      <c r="F77" s="277"/>
      <c r="G77" s="277"/>
      <c r="H77" s="277"/>
      <c r="I77" s="277"/>
      <c r="J77" s="277"/>
      <c r="K77" s="277"/>
      <c r="L77" s="277"/>
      <c r="M77" s="277"/>
      <c r="N77" s="277"/>
      <c r="O77" s="277"/>
      <c r="P77" s="277">
        <f t="shared" si="7"/>
        <v>0</v>
      </c>
      <c r="Q77" s="287"/>
      <c r="R77" s="281"/>
      <c r="S77" s="281"/>
      <c r="T77" s="281"/>
      <c r="U77" s="319"/>
      <c r="V77" s="321"/>
      <c r="W77" s="329"/>
    </row>
    <row r="78" spans="2:23" ht="18.75" x14ac:dyDescent="0.3">
      <c r="B78" s="274"/>
      <c r="C78" s="281"/>
      <c r="D78" s="273"/>
      <c r="E78" s="273"/>
      <c r="F78" s="273"/>
      <c r="G78" s="273"/>
      <c r="H78" s="273"/>
      <c r="I78" s="273"/>
      <c r="J78" s="273"/>
      <c r="K78" s="273"/>
      <c r="L78" s="273"/>
      <c r="M78" s="273"/>
      <c r="N78" s="273"/>
      <c r="O78" s="273"/>
      <c r="P78" s="277">
        <f t="shared" si="7"/>
        <v>0</v>
      </c>
      <c r="Q78" s="287"/>
      <c r="R78" s="273"/>
      <c r="S78" s="273"/>
      <c r="T78" s="273"/>
      <c r="U78" s="319"/>
      <c r="V78" s="321"/>
      <c r="W78" s="329"/>
    </row>
    <row r="79" spans="2:23" ht="45.75" x14ac:dyDescent="0.3">
      <c r="B79" s="278" t="s">
        <v>58</v>
      </c>
      <c r="C79" s="281"/>
      <c r="D79" s="277"/>
      <c r="E79" s="277"/>
      <c r="F79" s="268">
        <f>cheltuieli!J22</f>
        <v>305.55555555555554</v>
      </c>
      <c r="G79" s="277"/>
      <c r="H79" s="277"/>
      <c r="I79" s="268">
        <f>cheltuieli!K22</f>
        <v>7367.8033333333324</v>
      </c>
      <c r="J79" s="277"/>
      <c r="K79" s="277"/>
      <c r="L79" s="268">
        <f>cheltuieli!L22</f>
        <v>7367.8033333333324</v>
      </c>
      <c r="M79" s="277"/>
      <c r="N79" s="277"/>
      <c r="O79" s="268">
        <f>cheltuieli!M22</f>
        <v>7367.8033333333324</v>
      </c>
      <c r="P79" s="268">
        <f t="shared" si="7"/>
        <v>22408.965555555555</v>
      </c>
      <c r="Q79" s="287"/>
      <c r="R79" s="273"/>
      <c r="S79" s="273"/>
      <c r="T79" s="273"/>
      <c r="U79" s="318" t="s">
        <v>417</v>
      </c>
      <c r="V79" s="321" t="s">
        <v>423</v>
      </c>
    </row>
    <row r="80" spans="2:23" ht="18.75" x14ac:dyDescent="0.3">
      <c r="B80" s="274"/>
      <c r="C80" s="281"/>
      <c r="D80" s="273"/>
      <c r="E80" s="273"/>
      <c r="F80" s="273"/>
      <c r="G80" s="273"/>
      <c r="H80" s="273"/>
      <c r="I80" s="273"/>
      <c r="J80" s="273"/>
      <c r="K80" s="273"/>
      <c r="L80" s="273"/>
      <c r="M80" s="273"/>
      <c r="N80" s="273"/>
      <c r="O80" s="273"/>
      <c r="P80" s="277">
        <f t="shared" si="7"/>
        <v>0</v>
      </c>
      <c r="Q80" s="287"/>
      <c r="R80" s="273"/>
      <c r="S80" s="273"/>
      <c r="T80" s="273"/>
      <c r="U80" s="319"/>
      <c r="V80" s="321"/>
      <c r="W80" s="329"/>
    </row>
    <row r="81" spans="2:23" ht="56.25" x14ac:dyDescent="0.3">
      <c r="B81" s="278" t="s">
        <v>59</v>
      </c>
      <c r="C81" s="281"/>
      <c r="D81" s="279">
        <f>SUM(D82:D83)</f>
        <v>0</v>
      </c>
      <c r="E81" s="279">
        <f t="shared" ref="E81:O81" si="20">SUM(E82:E83)</f>
        <v>0</v>
      </c>
      <c r="F81" s="279">
        <f t="shared" si="20"/>
        <v>0</v>
      </c>
      <c r="G81" s="279">
        <f t="shared" si="20"/>
        <v>0</v>
      </c>
      <c r="H81" s="279">
        <f t="shared" si="20"/>
        <v>0</v>
      </c>
      <c r="I81" s="279">
        <f t="shared" si="20"/>
        <v>0</v>
      </c>
      <c r="J81" s="279">
        <f t="shared" si="20"/>
        <v>0</v>
      </c>
      <c r="K81" s="279">
        <f t="shared" si="20"/>
        <v>0</v>
      </c>
      <c r="L81" s="279">
        <f t="shared" si="20"/>
        <v>0</v>
      </c>
      <c r="M81" s="279">
        <f t="shared" si="20"/>
        <v>0</v>
      </c>
      <c r="N81" s="279">
        <f t="shared" si="20"/>
        <v>0</v>
      </c>
      <c r="O81" s="279">
        <f t="shared" si="20"/>
        <v>0</v>
      </c>
      <c r="P81" s="277">
        <f t="shared" si="7"/>
        <v>0</v>
      </c>
      <c r="Q81" s="287"/>
      <c r="R81" s="273"/>
      <c r="S81" s="273"/>
      <c r="T81" s="273"/>
      <c r="U81" s="319"/>
      <c r="V81" s="321"/>
      <c r="W81" s="329"/>
    </row>
    <row r="82" spans="2:23" ht="37.5" x14ac:dyDescent="0.3">
      <c r="B82" s="280" t="s">
        <v>60</v>
      </c>
      <c r="C82" s="281"/>
      <c r="D82" s="277"/>
      <c r="E82" s="277"/>
      <c r="F82" s="277"/>
      <c r="G82" s="277"/>
      <c r="H82" s="277"/>
      <c r="I82" s="277"/>
      <c r="J82" s="277"/>
      <c r="K82" s="277"/>
      <c r="L82" s="277"/>
      <c r="M82" s="277"/>
      <c r="N82" s="277"/>
      <c r="O82" s="277"/>
      <c r="P82" s="277">
        <f t="shared" ref="P82:P100" si="21">SUM(D82:O82)</f>
        <v>0</v>
      </c>
      <c r="Q82" s="287"/>
      <c r="R82" s="281"/>
      <c r="S82" s="281"/>
      <c r="T82" s="281"/>
      <c r="U82" s="319"/>
      <c r="V82" s="321"/>
    </row>
    <row r="83" spans="2:23" ht="37.5" x14ac:dyDescent="0.3">
      <c r="B83" s="280" t="s">
        <v>61</v>
      </c>
      <c r="C83" s="281"/>
      <c r="D83" s="277"/>
      <c r="E83" s="277"/>
      <c r="F83" s="277"/>
      <c r="G83" s="277"/>
      <c r="H83" s="277"/>
      <c r="I83" s="277"/>
      <c r="J83" s="277"/>
      <c r="K83" s="277"/>
      <c r="L83" s="277"/>
      <c r="M83" s="277"/>
      <c r="N83" s="277"/>
      <c r="O83" s="277"/>
      <c r="P83" s="277">
        <f t="shared" si="21"/>
        <v>0</v>
      </c>
      <c r="Q83" s="287"/>
      <c r="R83" s="281"/>
      <c r="S83" s="281"/>
      <c r="T83" s="281"/>
      <c r="U83" s="319"/>
      <c r="V83" s="321"/>
      <c r="W83" s="329"/>
    </row>
    <row r="84" spans="2:23" ht="18.75" x14ac:dyDescent="0.3">
      <c r="B84" s="274"/>
      <c r="C84" s="281"/>
      <c r="D84" s="273"/>
      <c r="E84" s="273"/>
      <c r="F84" s="273"/>
      <c r="G84" s="273"/>
      <c r="H84" s="273"/>
      <c r="I84" s="273"/>
      <c r="J84" s="273"/>
      <c r="K84" s="273"/>
      <c r="L84" s="273"/>
      <c r="M84" s="273"/>
      <c r="N84" s="273"/>
      <c r="O84" s="273"/>
      <c r="P84" s="277">
        <f t="shared" si="21"/>
        <v>0</v>
      </c>
      <c r="Q84" s="287"/>
      <c r="R84" s="273"/>
      <c r="S84" s="273"/>
      <c r="T84" s="273"/>
      <c r="U84" s="319"/>
      <c r="V84" s="321"/>
      <c r="W84" s="329"/>
    </row>
    <row r="85" spans="2:23" ht="37.5" x14ac:dyDescent="0.3">
      <c r="B85" s="278" t="s">
        <v>62</v>
      </c>
      <c r="C85" s="281"/>
      <c r="D85" s="279">
        <f>D86</f>
        <v>0</v>
      </c>
      <c r="E85" s="279">
        <f t="shared" ref="E85:O85" si="22">E86</f>
        <v>0</v>
      </c>
      <c r="F85" s="279">
        <f t="shared" si="22"/>
        <v>0</v>
      </c>
      <c r="G85" s="279">
        <f t="shared" si="22"/>
        <v>0</v>
      </c>
      <c r="H85" s="279">
        <f t="shared" si="22"/>
        <v>0</v>
      </c>
      <c r="I85" s="279">
        <f t="shared" si="22"/>
        <v>0</v>
      </c>
      <c r="J85" s="279">
        <f t="shared" si="22"/>
        <v>0</v>
      </c>
      <c r="K85" s="279">
        <f t="shared" si="22"/>
        <v>0</v>
      </c>
      <c r="L85" s="279">
        <f t="shared" si="22"/>
        <v>0</v>
      </c>
      <c r="M85" s="279">
        <f t="shared" si="22"/>
        <v>0</v>
      </c>
      <c r="N85" s="279">
        <f t="shared" si="22"/>
        <v>0</v>
      </c>
      <c r="O85" s="279">
        <f t="shared" si="22"/>
        <v>0</v>
      </c>
      <c r="P85" s="277">
        <f t="shared" si="21"/>
        <v>0</v>
      </c>
      <c r="Q85" s="287"/>
      <c r="R85" s="273"/>
      <c r="S85" s="273"/>
      <c r="T85" s="273"/>
      <c r="U85" s="319"/>
      <c r="V85" s="321"/>
      <c r="W85" s="329"/>
    </row>
    <row r="86" spans="2:23" ht="37.5" x14ac:dyDescent="0.3">
      <c r="B86" s="280" t="s">
        <v>63</v>
      </c>
      <c r="C86" s="281"/>
      <c r="D86" s="277"/>
      <c r="E86" s="277"/>
      <c r="F86" s="277"/>
      <c r="G86" s="277"/>
      <c r="H86" s="277"/>
      <c r="I86" s="277"/>
      <c r="J86" s="277"/>
      <c r="K86" s="277"/>
      <c r="L86" s="277"/>
      <c r="M86" s="277"/>
      <c r="N86" s="277"/>
      <c r="O86" s="277"/>
      <c r="P86" s="277">
        <f t="shared" si="21"/>
        <v>0</v>
      </c>
      <c r="Q86" s="287"/>
      <c r="R86" s="281"/>
      <c r="S86" s="281"/>
      <c r="T86" s="281"/>
      <c r="U86" s="319"/>
      <c r="V86" s="321"/>
      <c r="W86" s="329"/>
    </row>
    <row r="87" spans="2:23" ht="18.75" x14ac:dyDescent="0.3">
      <c r="B87" s="278"/>
      <c r="C87" s="281"/>
      <c r="D87" s="279"/>
      <c r="E87" s="279"/>
      <c r="F87" s="279"/>
      <c r="G87" s="279"/>
      <c r="H87" s="279"/>
      <c r="I87" s="279"/>
      <c r="J87" s="279"/>
      <c r="K87" s="279"/>
      <c r="L87" s="279"/>
      <c r="M87" s="279"/>
      <c r="N87" s="279"/>
      <c r="O87" s="279"/>
      <c r="P87" s="277">
        <f t="shared" si="21"/>
        <v>0</v>
      </c>
      <c r="Q87" s="287"/>
      <c r="R87" s="273"/>
      <c r="S87" s="273"/>
      <c r="T87" s="273"/>
      <c r="U87" s="319"/>
      <c r="V87" s="321"/>
      <c r="W87" s="329"/>
    </row>
    <row r="88" spans="2:23" ht="18.75" x14ac:dyDescent="0.3">
      <c r="B88" s="274"/>
      <c r="C88" s="281"/>
      <c r="D88" s="273"/>
      <c r="E88" s="273"/>
      <c r="F88" s="273"/>
      <c r="G88" s="273"/>
      <c r="H88" s="273"/>
      <c r="I88" s="273"/>
      <c r="J88" s="273"/>
      <c r="K88" s="273"/>
      <c r="L88" s="273"/>
      <c r="M88" s="273"/>
      <c r="N88" s="273"/>
      <c r="O88" s="273"/>
      <c r="P88" s="277">
        <f t="shared" si="21"/>
        <v>0</v>
      </c>
      <c r="Q88" s="287"/>
      <c r="R88" s="273"/>
      <c r="S88" s="273"/>
      <c r="T88" s="273"/>
      <c r="U88" s="319"/>
      <c r="V88" s="321"/>
      <c r="W88" s="329"/>
    </row>
    <row r="89" spans="2:23" ht="56.25" x14ac:dyDescent="0.3">
      <c r="B89" s="278" t="s">
        <v>64</v>
      </c>
      <c r="C89" s="281"/>
      <c r="D89" s="325">
        <v>3500</v>
      </c>
      <c r="E89" s="279">
        <v>0</v>
      </c>
      <c r="F89" s="279">
        <f t="shared" ref="F89:O89" si="23">SUM(F90:F93)</f>
        <v>0</v>
      </c>
      <c r="G89" s="279">
        <f t="shared" si="23"/>
        <v>0</v>
      </c>
      <c r="H89" s="279">
        <f t="shared" si="23"/>
        <v>0</v>
      </c>
      <c r="I89" s="279">
        <f t="shared" si="23"/>
        <v>0</v>
      </c>
      <c r="J89" s="279">
        <f t="shared" si="23"/>
        <v>0</v>
      </c>
      <c r="K89" s="279">
        <f t="shared" si="23"/>
        <v>0</v>
      </c>
      <c r="L89" s="279">
        <f t="shared" si="23"/>
        <v>0</v>
      </c>
      <c r="M89" s="279">
        <f t="shared" si="23"/>
        <v>0</v>
      </c>
      <c r="N89" s="279">
        <f t="shared" si="23"/>
        <v>0</v>
      </c>
      <c r="O89" s="279">
        <f t="shared" si="23"/>
        <v>0</v>
      </c>
      <c r="P89" s="277">
        <f t="shared" si="21"/>
        <v>3500</v>
      </c>
      <c r="Q89" s="287"/>
      <c r="R89" s="273"/>
      <c r="S89" s="273"/>
      <c r="T89" s="273"/>
      <c r="U89" s="318" t="s">
        <v>416</v>
      </c>
      <c r="V89" s="321" t="s">
        <v>424</v>
      </c>
      <c r="W89" s="329" t="s">
        <v>426</v>
      </c>
    </row>
    <row r="90" spans="2:23" ht="18.75" x14ac:dyDescent="0.3">
      <c r="B90" s="280" t="s">
        <v>65</v>
      </c>
      <c r="C90" s="281"/>
      <c r="D90" s="277"/>
      <c r="E90" s="277"/>
      <c r="F90" s="277"/>
      <c r="G90" s="277"/>
      <c r="H90" s="277"/>
      <c r="I90" s="277"/>
      <c r="J90" s="277"/>
      <c r="K90" s="277"/>
      <c r="L90" s="277"/>
      <c r="M90" s="277"/>
      <c r="N90" s="277"/>
      <c r="O90" s="277"/>
      <c r="P90" s="277">
        <f t="shared" si="21"/>
        <v>0</v>
      </c>
      <c r="Q90" s="287"/>
      <c r="R90" s="281"/>
      <c r="S90" s="281"/>
      <c r="T90" s="281"/>
      <c r="U90" s="319"/>
      <c r="V90" s="321"/>
      <c r="W90" s="329"/>
    </row>
    <row r="91" spans="2:23" ht="37.5" x14ac:dyDescent="0.3">
      <c r="B91" s="280" t="s">
        <v>66</v>
      </c>
      <c r="C91" s="281"/>
      <c r="D91" s="322">
        <v>2000</v>
      </c>
      <c r="E91" s="277"/>
      <c r="F91" s="277"/>
      <c r="G91" s="277"/>
      <c r="H91" s="277"/>
      <c r="I91" s="277"/>
      <c r="J91" s="277"/>
      <c r="K91" s="277"/>
      <c r="L91" s="277"/>
      <c r="M91" s="277"/>
      <c r="N91" s="277"/>
      <c r="O91" s="277"/>
      <c r="P91" s="277">
        <f t="shared" si="21"/>
        <v>2000</v>
      </c>
      <c r="Q91" s="287"/>
      <c r="R91" s="281"/>
      <c r="S91" s="281"/>
      <c r="T91" s="281"/>
      <c r="U91" s="319"/>
      <c r="V91" s="321"/>
      <c r="W91" s="329"/>
    </row>
    <row r="92" spans="2:23" ht="37.5" x14ac:dyDescent="0.3">
      <c r="B92" s="280" t="s">
        <v>297</v>
      </c>
      <c r="C92" s="281"/>
      <c r="D92" s="322">
        <v>1000</v>
      </c>
      <c r="E92" s="277"/>
      <c r="F92" s="277"/>
      <c r="G92" s="277"/>
      <c r="H92" s="277"/>
      <c r="I92" s="277"/>
      <c r="J92" s="277"/>
      <c r="K92" s="277"/>
      <c r="L92" s="277"/>
      <c r="M92" s="277"/>
      <c r="N92" s="277"/>
      <c r="O92" s="277"/>
      <c r="P92" s="277">
        <f t="shared" si="21"/>
        <v>1000</v>
      </c>
      <c r="Q92" s="287"/>
      <c r="R92" s="281"/>
      <c r="S92" s="281"/>
      <c r="T92" s="281"/>
      <c r="U92" s="319"/>
      <c r="V92" s="321"/>
      <c r="W92" s="329"/>
    </row>
    <row r="93" spans="2:23" ht="37.5" x14ac:dyDescent="0.3">
      <c r="B93" s="280" t="s">
        <v>67</v>
      </c>
      <c r="C93" s="281"/>
      <c r="D93" s="322">
        <v>500</v>
      </c>
      <c r="E93" s="277"/>
      <c r="F93" s="277"/>
      <c r="G93" s="277"/>
      <c r="H93" s="277"/>
      <c r="I93" s="277"/>
      <c r="J93" s="277"/>
      <c r="K93" s="277"/>
      <c r="L93" s="277"/>
      <c r="M93" s="277"/>
      <c r="N93" s="277"/>
      <c r="O93" s="277"/>
      <c r="P93" s="277">
        <f t="shared" si="21"/>
        <v>500</v>
      </c>
      <c r="Q93" s="287"/>
      <c r="R93" s="281"/>
      <c r="S93" s="281"/>
      <c r="T93" s="281"/>
      <c r="U93" s="319"/>
      <c r="V93" s="321"/>
      <c r="W93" s="329"/>
    </row>
    <row r="94" spans="2:23" ht="18.75" x14ac:dyDescent="0.3">
      <c r="B94" s="280"/>
      <c r="C94" s="281"/>
      <c r="D94" s="281"/>
      <c r="E94" s="281"/>
      <c r="F94" s="281"/>
      <c r="G94" s="281"/>
      <c r="H94" s="281"/>
      <c r="I94" s="281"/>
      <c r="J94" s="281"/>
      <c r="K94" s="281"/>
      <c r="L94" s="281"/>
      <c r="M94" s="281"/>
      <c r="N94" s="281"/>
      <c r="O94" s="281"/>
      <c r="P94" s="277">
        <f t="shared" si="21"/>
        <v>0</v>
      </c>
      <c r="Q94" s="287"/>
      <c r="R94" s="281"/>
      <c r="S94" s="281"/>
      <c r="T94" s="281"/>
      <c r="U94" s="319"/>
      <c r="V94" s="321"/>
      <c r="W94" s="329"/>
    </row>
    <row r="95" spans="2:23" ht="18.75" x14ac:dyDescent="0.3">
      <c r="B95" s="274"/>
      <c r="C95" s="281"/>
      <c r="D95" s="273"/>
      <c r="E95" s="273"/>
      <c r="F95" s="273"/>
      <c r="G95" s="273"/>
      <c r="H95" s="273"/>
      <c r="I95" s="273"/>
      <c r="J95" s="273"/>
      <c r="K95" s="273"/>
      <c r="L95" s="273"/>
      <c r="M95" s="273"/>
      <c r="N95" s="273"/>
      <c r="O95" s="273"/>
      <c r="P95" s="277">
        <f t="shared" si="21"/>
        <v>0</v>
      </c>
      <c r="Q95" s="287"/>
      <c r="R95" s="273"/>
      <c r="S95" s="273"/>
      <c r="T95" s="273"/>
      <c r="U95" s="319"/>
      <c r="V95" s="321"/>
      <c r="W95" s="329"/>
    </row>
    <row r="96" spans="2:23" ht="37.5" x14ac:dyDescent="0.3">
      <c r="B96" s="278" t="s">
        <v>68</v>
      </c>
      <c r="C96" s="281"/>
      <c r="D96" s="279">
        <f>SUM(D97:D100)</f>
        <v>0</v>
      </c>
      <c r="E96" s="279">
        <f t="shared" ref="E96:O96" si="24">SUM(E97:E100)</f>
        <v>0</v>
      </c>
      <c r="F96" s="279">
        <f t="shared" si="24"/>
        <v>0</v>
      </c>
      <c r="G96" s="279">
        <f t="shared" si="24"/>
        <v>0</v>
      </c>
      <c r="H96" s="279">
        <f t="shared" si="24"/>
        <v>0</v>
      </c>
      <c r="I96" s="279">
        <f t="shared" si="24"/>
        <v>0</v>
      </c>
      <c r="J96" s="279">
        <f t="shared" si="24"/>
        <v>0</v>
      </c>
      <c r="K96" s="279">
        <f t="shared" si="24"/>
        <v>0</v>
      </c>
      <c r="L96" s="279">
        <f t="shared" si="24"/>
        <v>0</v>
      </c>
      <c r="M96" s="279">
        <f t="shared" si="24"/>
        <v>0</v>
      </c>
      <c r="N96" s="279">
        <f t="shared" si="24"/>
        <v>0</v>
      </c>
      <c r="O96" s="279">
        <f t="shared" si="24"/>
        <v>0</v>
      </c>
      <c r="P96" s="277">
        <f t="shared" si="21"/>
        <v>0</v>
      </c>
      <c r="Q96" s="287"/>
      <c r="R96" s="273"/>
      <c r="S96" s="273"/>
      <c r="T96" s="273"/>
      <c r="U96" s="319"/>
      <c r="V96" s="321"/>
      <c r="W96" s="329"/>
    </row>
    <row r="97" spans="2:23" ht="18.75" x14ac:dyDescent="0.3">
      <c r="B97" s="274" t="s">
        <v>69</v>
      </c>
      <c r="C97" s="281"/>
      <c r="D97" s="277"/>
      <c r="E97" s="277"/>
      <c r="F97" s="277"/>
      <c r="G97" s="277"/>
      <c r="H97" s="277"/>
      <c r="I97" s="277"/>
      <c r="J97" s="277"/>
      <c r="K97" s="277"/>
      <c r="L97" s="277"/>
      <c r="M97" s="277"/>
      <c r="N97" s="277"/>
      <c r="O97" s="277"/>
      <c r="P97" s="277">
        <f t="shared" si="21"/>
        <v>0</v>
      </c>
      <c r="Q97" s="287"/>
      <c r="R97" s="273"/>
      <c r="S97" s="273"/>
      <c r="T97" s="273"/>
      <c r="U97" s="319"/>
      <c r="V97" s="321"/>
      <c r="W97" s="329"/>
    </row>
    <row r="98" spans="2:23" ht="37.5" x14ac:dyDescent="0.3">
      <c r="B98" s="274" t="s">
        <v>70</v>
      </c>
      <c r="C98" s="281"/>
      <c r="D98" s="277"/>
      <c r="E98" s="277"/>
      <c r="F98" s="277"/>
      <c r="G98" s="277"/>
      <c r="H98" s="277"/>
      <c r="I98" s="277"/>
      <c r="J98" s="277"/>
      <c r="K98" s="277"/>
      <c r="L98" s="277"/>
      <c r="M98" s="277"/>
      <c r="N98" s="277"/>
      <c r="O98" s="277"/>
      <c r="P98" s="277">
        <f t="shared" si="21"/>
        <v>0</v>
      </c>
      <c r="Q98" s="287"/>
      <c r="R98" s="273"/>
      <c r="S98" s="273"/>
      <c r="T98" s="273"/>
      <c r="U98" s="319"/>
      <c r="V98" s="321"/>
      <c r="W98" s="329"/>
    </row>
    <row r="99" spans="2:23" ht="75" x14ac:dyDescent="0.3">
      <c r="B99" s="274" t="s">
        <v>71</v>
      </c>
      <c r="C99" s="281"/>
      <c r="D99" s="277"/>
      <c r="E99" s="277"/>
      <c r="F99" s="277"/>
      <c r="G99" s="277"/>
      <c r="H99" s="277"/>
      <c r="I99" s="277"/>
      <c r="J99" s="277"/>
      <c r="K99" s="277"/>
      <c r="L99" s="277"/>
      <c r="M99" s="277"/>
      <c r="N99" s="277"/>
      <c r="O99" s="277"/>
      <c r="P99" s="277">
        <f t="shared" si="21"/>
        <v>0</v>
      </c>
      <c r="Q99" s="287"/>
      <c r="R99" s="273"/>
      <c r="S99" s="273"/>
      <c r="T99" s="273"/>
      <c r="U99" s="319"/>
      <c r="V99" s="321"/>
      <c r="W99" s="329"/>
    </row>
    <row r="100" spans="2:23" ht="56.25" x14ac:dyDescent="0.3">
      <c r="B100" s="274" t="s">
        <v>72</v>
      </c>
      <c r="C100" s="281"/>
      <c r="D100" s="277"/>
      <c r="E100" s="277"/>
      <c r="F100" s="277"/>
      <c r="G100" s="277"/>
      <c r="H100" s="277"/>
      <c r="I100" s="277"/>
      <c r="J100" s="277"/>
      <c r="K100" s="277"/>
      <c r="L100" s="277"/>
      <c r="M100" s="277"/>
      <c r="N100" s="277"/>
      <c r="O100" s="277"/>
      <c r="P100" s="277">
        <f t="shared" si="21"/>
        <v>0</v>
      </c>
      <c r="Q100" s="287"/>
      <c r="R100" s="273"/>
      <c r="S100" s="273"/>
      <c r="T100" s="273"/>
      <c r="U100" s="319"/>
      <c r="V100" s="321" t="s">
        <v>425</v>
      </c>
    </row>
    <row r="101" spans="2:23" x14ac:dyDescent="0.25">
      <c r="B101" t="str">
        <f>'buget grant'!C73</f>
        <v>Cheltuieli de transport: aprovizionare si desfacere</v>
      </c>
    </row>
    <row r="102" spans="2:23" ht="15.75" x14ac:dyDescent="0.25">
      <c r="B102" s="343"/>
    </row>
    <row r="103" spans="2:23" ht="15.75" x14ac:dyDescent="0.25">
      <c r="B103" s="342" t="s">
        <v>0</v>
      </c>
      <c r="C103" s="344"/>
      <c r="D103" s="345">
        <f>D5+D22+D37+D43+D51+D58+D64+D70+D73+D76+D79+D81+D85+D89+D96</f>
        <v>4800</v>
      </c>
      <c r="E103" s="345">
        <f t="shared" ref="E103:P103" si="25">E5+E22+E37+E43+E51+E58+E64+E70+E73+E76+E79+E81+E85+E89+E96</f>
        <v>113420</v>
      </c>
      <c r="F103" s="345">
        <f t="shared" si="25"/>
        <v>14463.555555555555</v>
      </c>
      <c r="G103" s="345">
        <f t="shared" si="25"/>
        <v>14958</v>
      </c>
      <c r="H103" s="345">
        <f t="shared" si="25"/>
        <v>14958</v>
      </c>
      <c r="I103" s="345">
        <f t="shared" si="25"/>
        <v>22325.803333333333</v>
      </c>
      <c r="J103" s="345">
        <f t="shared" si="25"/>
        <v>14958</v>
      </c>
      <c r="K103" s="345">
        <f t="shared" si="25"/>
        <v>14958</v>
      </c>
      <c r="L103" s="345">
        <f t="shared" si="25"/>
        <v>47714.80333333333</v>
      </c>
      <c r="M103" s="345">
        <f t="shared" si="25"/>
        <v>14958</v>
      </c>
      <c r="N103" s="345">
        <f t="shared" si="25"/>
        <v>14958</v>
      </c>
      <c r="O103" s="345">
        <f t="shared" si="25"/>
        <v>22325.803333333333</v>
      </c>
      <c r="P103" s="345">
        <f t="shared" si="25"/>
        <v>314797.96555555554</v>
      </c>
      <c r="Q103" s="341"/>
    </row>
    <row r="104" spans="2:23" ht="15.75" x14ac:dyDescent="0.25">
      <c r="B104" s="342" t="s">
        <v>452</v>
      </c>
      <c r="D104" s="341">
        <f>D103-D79</f>
        <v>4800</v>
      </c>
      <c r="E104" s="341">
        <f t="shared" ref="E104:O104" si="26">E103-E79</f>
        <v>113420</v>
      </c>
      <c r="F104" s="341">
        <f t="shared" si="26"/>
        <v>14158</v>
      </c>
      <c r="G104" s="341">
        <f t="shared" si="26"/>
        <v>14958</v>
      </c>
      <c r="H104" s="341">
        <f t="shared" si="26"/>
        <v>14958</v>
      </c>
      <c r="I104" s="341">
        <f t="shared" si="26"/>
        <v>14958</v>
      </c>
      <c r="J104" s="341">
        <f t="shared" si="26"/>
        <v>14958</v>
      </c>
      <c r="K104" s="341">
        <f t="shared" si="26"/>
        <v>14958</v>
      </c>
      <c r="L104" s="341">
        <f t="shared" si="26"/>
        <v>40347</v>
      </c>
      <c r="M104" s="341">
        <f t="shared" si="26"/>
        <v>14958</v>
      </c>
      <c r="N104" s="341">
        <f t="shared" si="26"/>
        <v>14958</v>
      </c>
      <c r="O104" s="341">
        <f t="shared" si="26"/>
        <v>14958</v>
      </c>
      <c r="P104" s="341">
        <f>SUM(D104:O104)</f>
        <v>292389</v>
      </c>
      <c r="Q104" s="341">
        <f>P103-P104</f>
        <v>22408.965555555536</v>
      </c>
    </row>
    <row r="106" spans="2:23" ht="18" thickBot="1" x14ac:dyDescent="0.3">
      <c r="B106" s="339" t="s">
        <v>448</v>
      </c>
    </row>
    <row r="107" spans="2:23" ht="17.25" thickBot="1" x14ac:dyDescent="0.3">
      <c r="B107" s="336" t="s">
        <v>429</v>
      </c>
      <c r="C107" s="340" t="s">
        <v>449</v>
      </c>
      <c r="D107" s="340" t="s">
        <v>430</v>
      </c>
      <c r="E107" s="340" t="s">
        <v>431</v>
      </c>
      <c r="F107" s="340" t="s">
        <v>432</v>
      </c>
      <c r="G107" s="340" t="s">
        <v>433</v>
      </c>
      <c r="H107" s="340" t="s">
        <v>434</v>
      </c>
      <c r="I107" s="340" t="s">
        <v>435</v>
      </c>
      <c r="J107" s="340" t="s">
        <v>436</v>
      </c>
      <c r="K107" s="340" t="s">
        <v>437</v>
      </c>
      <c r="L107" s="340" t="s">
        <v>438</v>
      </c>
      <c r="M107" s="340" t="s">
        <v>439</v>
      </c>
      <c r="N107" s="340" t="s">
        <v>440</v>
      </c>
      <c r="O107" s="347" t="s">
        <v>441</v>
      </c>
    </row>
    <row r="108" spans="2:23" ht="17.25" thickBot="1" x14ac:dyDescent="0.3">
      <c r="B108" s="335" t="s">
        <v>442</v>
      </c>
      <c r="C108" s="333">
        <v>1000</v>
      </c>
      <c r="D108" s="338">
        <f>C114</f>
        <v>800</v>
      </c>
      <c r="E108" s="351">
        <f t="shared" ref="E108:O108" si="27">D114</f>
        <v>-4000</v>
      </c>
      <c r="F108" s="351">
        <f t="shared" si="27"/>
        <v>16335</v>
      </c>
      <c r="G108" s="351">
        <f t="shared" si="27"/>
        <v>2177</v>
      </c>
      <c r="H108" s="351">
        <f t="shared" si="27"/>
        <v>-12781</v>
      </c>
      <c r="I108" s="351">
        <f t="shared" si="27"/>
        <v>-27739</v>
      </c>
      <c r="J108" s="351">
        <f t="shared" si="27"/>
        <v>-42697</v>
      </c>
      <c r="K108" s="351">
        <f t="shared" si="27"/>
        <v>-57655</v>
      </c>
      <c r="L108" s="351">
        <f t="shared" si="27"/>
        <v>-72613</v>
      </c>
      <c r="M108" s="351">
        <f t="shared" si="27"/>
        <v>-68375</v>
      </c>
      <c r="N108" s="352">
        <f t="shared" si="27"/>
        <v>-83333</v>
      </c>
      <c r="O108" s="353">
        <f t="shared" si="27"/>
        <v>-98291</v>
      </c>
    </row>
    <row r="109" spans="2:23" ht="17.25" thickBot="1" x14ac:dyDescent="0.3">
      <c r="B109" s="335" t="s">
        <v>443</v>
      </c>
      <c r="C109" s="338">
        <v>0</v>
      </c>
      <c r="D109" s="338">
        <v>0</v>
      </c>
      <c r="E109" s="333">
        <f>30000*4.4585</f>
        <v>133755</v>
      </c>
      <c r="F109" s="338">
        <v>0</v>
      </c>
      <c r="G109" s="338">
        <v>0</v>
      </c>
      <c r="H109" s="338">
        <v>0</v>
      </c>
      <c r="I109" s="338">
        <v>0</v>
      </c>
      <c r="J109" s="338">
        <v>0</v>
      </c>
      <c r="K109" s="338">
        <v>0</v>
      </c>
      <c r="L109" s="333">
        <f>10000*4.4585</f>
        <v>44585</v>
      </c>
      <c r="M109" s="338">
        <v>0</v>
      </c>
      <c r="N109" s="346">
        <v>0</v>
      </c>
      <c r="O109" s="348"/>
    </row>
    <row r="110" spans="2:23" ht="17.25" thickBot="1" x14ac:dyDescent="0.3">
      <c r="B110" s="337" t="s">
        <v>444</v>
      </c>
      <c r="C110" s="351">
        <f>C108+C109</f>
        <v>1000</v>
      </c>
      <c r="D110" s="351">
        <f t="shared" ref="D110:O110" si="28">D108+D109</f>
        <v>800</v>
      </c>
      <c r="E110" s="351">
        <f t="shared" si="28"/>
        <v>129755</v>
      </c>
      <c r="F110" s="351">
        <f t="shared" si="28"/>
        <v>16335</v>
      </c>
      <c r="G110" s="351">
        <f t="shared" si="28"/>
        <v>2177</v>
      </c>
      <c r="H110" s="351">
        <f t="shared" si="28"/>
        <v>-12781</v>
      </c>
      <c r="I110" s="351">
        <f t="shared" si="28"/>
        <v>-27739</v>
      </c>
      <c r="J110" s="351">
        <f t="shared" si="28"/>
        <v>-42697</v>
      </c>
      <c r="K110" s="351">
        <f t="shared" si="28"/>
        <v>-57655</v>
      </c>
      <c r="L110" s="351">
        <f t="shared" si="28"/>
        <v>-28028</v>
      </c>
      <c r="M110" s="351">
        <f t="shared" si="28"/>
        <v>-68375</v>
      </c>
      <c r="N110" s="352">
        <f t="shared" si="28"/>
        <v>-83333</v>
      </c>
      <c r="O110" s="354">
        <f t="shared" si="28"/>
        <v>-98291</v>
      </c>
    </row>
    <row r="111" spans="2:23" ht="17.25" thickBot="1" x14ac:dyDescent="0.3">
      <c r="B111" s="335" t="s">
        <v>451</v>
      </c>
      <c r="C111" s="338">
        <v>200</v>
      </c>
      <c r="D111" s="338">
        <f>D43-D47-D48</f>
        <v>0</v>
      </c>
      <c r="E111" s="338">
        <f t="shared" ref="E111:O111" si="29">E43-E47-E48</f>
        <v>104165</v>
      </c>
      <c r="F111" s="338">
        <f t="shared" si="29"/>
        <v>4000</v>
      </c>
      <c r="G111" s="338">
        <f t="shared" si="29"/>
        <v>0</v>
      </c>
      <c r="H111" s="338">
        <f t="shared" si="29"/>
        <v>0</v>
      </c>
      <c r="I111" s="338">
        <f t="shared" si="29"/>
        <v>0</v>
      </c>
      <c r="J111" s="338">
        <f t="shared" si="29"/>
        <v>0</v>
      </c>
      <c r="K111" s="338">
        <f t="shared" si="29"/>
        <v>0</v>
      </c>
      <c r="L111" s="338">
        <f t="shared" si="29"/>
        <v>25389</v>
      </c>
      <c r="M111" s="338">
        <f t="shared" si="29"/>
        <v>0</v>
      </c>
      <c r="N111" s="346">
        <f t="shared" si="29"/>
        <v>0</v>
      </c>
      <c r="O111" s="349">
        <f t="shared" si="29"/>
        <v>0</v>
      </c>
      <c r="P111" s="190">
        <f>SUM(D111:O111)</f>
        <v>133554</v>
      </c>
    </row>
    <row r="112" spans="2:23" ht="17.25" thickBot="1" x14ac:dyDescent="0.3">
      <c r="B112" s="335" t="s">
        <v>445</v>
      </c>
      <c r="C112" s="338">
        <v>0</v>
      </c>
      <c r="D112" s="338">
        <f>D104+D47+D48-D43</f>
        <v>4800</v>
      </c>
      <c r="E112" s="338">
        <f t="shared" ref="E112:O112" si="30">E104+E47+E48-E43</f>
        <v>9255</v>
      </c>
      <c r="F112" s="338">
        <f t="shared" si="30"/>
        <v>10158</v>
      </c>
      <c r="G112" s="338">
        <f t="shared" si="30"/>
        <v>14958</v>
      </c>
      <c r="H112" s="338">
        <f t="shared" si="30"/>
        <v>14958</v>
      </c>
      <c r="I112" s="338">
        <f t="shared" si="30"/>
        <v>14958</v>
      </c>
      <c r="J112" s="338">
        <f t="shared" si="30"/>
        <v>14958</v>
      </c>
      <c r="K112" s="338">
        <f t="shared" si="30"/>
        <v>14958</v>
      </c>
      <c r="L112" s="338">
        <f t="shared" si="30"/>
        <v>14958</v>
      </c>
      <c r="M112" s="338">
        <f t="shared" si="30"/>
        <v>14958</v>
      </c>
      <c r="N112" s="338">
        <f t="shared" si="30"/>
        <v>14958</v>
      </c>
      <c r="O112" s="338">
        <f t="shared" si="30"/>
        <v>14958</v>
      </c>
      <c r="P112" s="190">
        <f>SUM(D112:O112)</f>
        <v>158835</v>
      </c>
      <c r="Q112" s="190">
        <f>P111+P112</f>
        <v>292389</v>
      </c>
    </row>
    <row r="113" spans="2:15" ht="17.25" thickBot="1" x14ac:dyDescent="0.3">
      <c r="B113" s="337" t="s">
        <v>446</v>
      </c>
      <c r="C113" s="351">
        <f>C111+C112</f>
        <v>200</v>
      </c>
      <c r="D113" s="351">
        <f>D111+D112</f>
        <v>4800</v>
      </c>
      <c r="E113" s="351">
        <f t="shared" ref="E113:O113" si="31">E111+E112</f>
        <v>113420</v>
      </c>
      <c r="F113" s="351">
        <f t="shared" si="31"/>
        <v>14158</v>
      </c>
      <c r="G113" s="351">
        <f t="shared" si="31"/>
        <v>14958</v>
      </c>
      <c r="H113" s="351">
        <f t="shared" si="31"/>
        <v>14958</v>
      </c>
      <c r="I113" s="351">
        <f t="shared" si="31"/>
        <v>14958</v>
      </c>
      <c r="J113" s="351">
        <f t="shared" si="31"/>
        <v>14958</v>
      </c>
      <c r="K113" s="351">
        <f t="shared" si="31"/>
        <v>14958</v>
      </c>
      <c r="L113" s="351">
        <f t="shared" si="31"/>
        <v>40347</v>
      </c>
      <c r="M113" s="351">
        <f t="shared" si="31"/>
        <v>14958</v>
      </c>
      <c r="N113" s="351">
        <f t="shared" si="31"/>
        <v>14958</v>
      </c>
      <c r="O113" s="351">
        <f t="shared" si="31"/>
        <v>14958</v>
      </c>
    </row>
    <row r="114" spans="2:15" ht="17.25" thickBot="1" x14ac:dyDescent="0.3">
      <c r="B114" s="337" t="s">
        <v>447</v>
      </c>
      <c r="C114" s="351">
        <f>C110-C113</f>
        <v>800</v>
      </c>
      <c r="D114" s="351">
        <f t="shared" ref="D114:O114" si="32">D110-D113</f>
        <v>-4000</v>
      </c>
      <c r="E114" s="351">
        <f t="shared" si="32"/>
        <v>16335</v>
      </c>
      <c r="F114" s="351">
        <f t="shared" si="32"/>
        <v>2177</v>
      </c>
      <c r="G114" s="351">
        <f t="shared" si="32"/>
        <v>-12781</v>
      </c>
      <c r="H114" s="351">
        <f t="shared" si="32"/>
        <v>-27739</v>
      </c>
      <c r="I114" s="351">
        <f t="shared" si="32"/>
        <v>-42697</v>
      </c>
      <c r="J114" s="351">
        <f t="shared" si="32"/>
        <v>-57655</v>
      </c>
      <c r="K114" s="351">
        <f t="shared" si="32"/>
        <v>-72613</v>
      </c>
      <c r="L114" s="351">
        <f t="shared" si="32"/>
        <v>-68375</v>
      </c>
      <c r="M114" s="351">
        <f t="shared" si="32"/>
        <v>-83333</v>
      </c>
      <c r="N114" s="352">
        <f t="shared" si="32"/>
        <v>-98291</v>
      </c>
      <c r="O114" s="355">
        <f t="shared" si="32"/>
        <v>-113249</v>
      </c>
    </row>
  </sheetData>
  <mergeCells count="2">
    <mergeCell ref="R4:T4"/>
    <mergeCell ref="B3:O3"/>
  </mergeCells>
  <pageMargins left="0.7" right="0.7" top="0.75" bottom="0.75" header="0.3" footer="0.3"/>
  <pageSetup paperSize="9" orientation="portrait" verticalDpi="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3:T97"/>
  <sheetViews>
    <sheetView topLeftCell="A8" zoomScale="90" zoomScaleNormal="90" workbookViewId="0">
      <selection activeCell="B9" sqref="B9"/>
    </sheetView>
  </sheetViews>
  <sheetFormatPr baseColWidth="10" defaultColWidth="9.140625" defaultRowHeight="16.5" outlineLevelRow="1" outlineLevelCol="1" x14ac:dyDescent="0.3"/>
  <cols>
    <col min="2" max="2" width="54.140625" customWidth="1"/>
    <col min="3" max="3" width="16.7109375" customWidth="1"/>
    <col min="4" max="4" width="15.140625" customWidth="1"/>
    <col min="5" max="5" width="13.140625" customWidth="1"/>
    <col min="6" max="6" width="12.5703125" customWidth="1"/>
    <col min="8" max="10" width="0" hidden="1" customWidth="1" outlineLevel="1"/>
    <col min="11" max="11" width="32.42578125" style="7" customWidth="1" collapsed="1"/>
    <col min="12" max="12" width="14.140625" customWidth="1"/>
    <col min="13" max="13" width="13.5703125" customWidth="1"/>
    <col min="14" max="14" width="11.42578125" customWidth="1"/>
    <col min="15" max="15" width="12" customWidth="1"/>
    <col min="16" max="16" width="12.7109375" customWidth="1"/>
    <col min="17" max="17" width="11.85546875" customWidth="1"/>
    <col min="18" max="18" width="12.85546875" customWidth="1"/>
    <col min="19" max="19" width="18.140625" customWidth="1"/>
    <col min="20" max="20" width="12.7109375" customWidth="1"/>
  </cols>
  <sheetData>
    <row r="3" spans="2:20" ht="49.5" x14ac:dyDescent="0.25">
      <c r="B3" s="75" t="s">
        <v>74</v>
      </c>
      <c r="C3" s="29" t="s">
        <v>96</v>
      </c>
      <c r="D3" s="29" t="s">
        <v>75</v>
      </c>
      <c r="E3" s="29" t="s">
        <v>76</v>
      </c>
      <c r="F3" s="29" t="s">
        <v>77</v>
      </c>
      <c r="K3" s="409" t="s">
        <v>99</v>
      </c>
      <c r="L3" s="409"/>
      <c r="M3" s="409"/>
      <c r="N3" s="409"/>
      <c r="O3" s="409"/>
      <c r="P3" s="409"/>
      <c r="Q3" s="409"/>
      <c r="R3" s="409"/>
      <c r="S3" s="409"/>
    </row>
    <row r="4" spans="2:20" ht="42" customHeight="1" thickBot="1" x14ac:dyDescent="0.35">
      <c r="B4" s="407" t="s">
        <v>110</v>
      </c>
      <c r="C4" s="407"/>
      <c r="D4" s="407"/>
      <c r="E4" s="407"/>
      <c r="F4" s="408"/>
      <c r="K4" s="79" t="s">
        <v>109</v>
      </c>
      <c r="L4" s="79" t="s">
        <v>97</v>
      </c>
      <c r="M4" s="79" t="s">
        <v>98</v>
      </c>
      <c r="N4" s="79" t="s">
        <v>102</v>
      </c>
      <c r="O4" s="79" t="s">
        <v>103</v>
      </c>
      <c r="P4" s="79" t="s">
        <v>104</v>
      </c>
      <c r="Q4" s="79" t="s">
        <v>105</v>
      </c>
      <c r="R4" s="79" t="s">
        <v>106</v>
      </c>
      <c r="S4" s="79" t="s">
        <v>280</v>
      </c>
      <c r="T4" s="79" t="s">
        <v>281</v>
      </c>
    </row>
    <row r="5" spans="2:20" ht="26.45" customHeight="1" thickBot="1" x14ac:dyDescent="0.35">
      <c r="B5" s="18" t="s">
        <v>111</v>
      </c>
      <c r="C5" s="25"/>
      <c r="D5" s="25">
        <f>SUM(D6:D10)</f>
        <v>2</v>
      </c>
      <c r="E5" s="25">
        <f>SUM(E6:E11)</f>
        <v>138189.4</v>
      </c>
      <c r="F5" s="410">
        <v>5</v>
      </c>
      <c r="K5" s="77" t="str">
        <f>B5</f>
        <v xml:space="preserve">I. 1. Masini si echipamente de Productie/ Prestari servicii </v>
      </c>
      <c r="L5" s="78">
        <f>E5</f>
        <v>138189.4</v>
      </c>
      <c r="M5" s="78">
        <v>5</v>
      </c>
      <c r="N5" s="78">
        <v>0</v>
      </c>
      <c r="O5" s="78">
        <f>L5/5/4</f>
        <v>6909.4699999999993</v>
      </c>
      <c r="P5" s="78">
        <f t="shared" ref="P5:Q7" si="0">O5</f>
        <v>6909.4699999999993</v>
      </c>
      <c r="Q5" s="78">
        <f t="shared" si="0"/>
        <v>6909.4699999999993</v>
      </c>
      <c r="R5" s="87">
        <f>SUM(N5:Q5)</f>
        <v>20728.409999999996</v>
      </c>
      <c r="S5" s="87">
        <f>L5/M5</f>
        <v>27637.879999999997</v>
      </c>
      <c r="T5" s="94">
        <f>S5</f>
        <v>27637.879999999997</v>
      </c>
    </row>
    <row r="6" spans="2:20" ht="18.95" customHeight="1" thickBot="1" x14ac:dyDescent="0.35">
      <c r="B6" s="202" t="s">
        <v>270</v>
      </c>
      <c r="C6" s="3">
        <f>24000*4.7</f>
        <v>112800</v>
      </c>
      <c r="D6" s="73">
        <v>1</v>
      </c>
      <c r="E6" s="25">
        <f t="shared" ref="E6:E11" si="1">C6*D6</f>
        <v>112800</v>
      </c>
      <c r="F6" s="411"/>
      <c r="K6" s="77" t="str">
        <f>B12</f>
        <v xml:space="preserve">I.2. Echipamente IT </v>
      </c>
      <c r="L6" s="78">
        <f>E12</f>
        <v>4000</v>
      </c>
      <c r="M6" s="78">
        <v>3</v>
      </c>
      <c r="N6" s="78">
        <f>L6/M6/12*2</f>
        <v>222.2222222222222</v>
      </c>
      <c r="O6" s="78">
        <f>L6/M6/4</f>
        <v>333.33333333333331</v>
      </c>
      <c r="P6" s="78">
        <f t="shared" si="0"/>
        <v>333.33333333333331</v>
      </c>
      <c r="Q6" s="78">
        <f t="shared" si="0"/>
        <v>333.33333333333331</v>
      </c>
      <c r="R6" s="87">
        <f>SUM(N6:Q6)</f>
        <v>1222.2222222222222</v>
      </c>
      <c r="S6" s="87">
        <f>L6/M6</f>
        <v>1333.3333333333333</v>
      </c>
      <c r="T6" s="94">
        <f>S6</f>
        <v>1333.3333333333333</v>
      </c>
    </row>
    <row r="7" spans="2:20" ht="11.45" customHeight="1" x14ac:dyDescent="0.3">
      <c r="B7" s="21" t="s">
        <v>474</v>
      </c>
      <c r="C7" s="3">
        <f>5402*4.7</f>
        <v>25389.4</v>
      </c>
      <c r="D7" s="9">
        <v>1</v>
      </c>
      <c r="E7" s="25">
        <f t="shared" si="1"/>
        <v>25389.4</v>
      </c>
      <c r="F7" s="411"/>
      <c r="K7" s="77" t="str">
        <f>B17</f>
        <v xml:space="preserve">I. 3. Mobilier </v>
      </c>
      <c r="L7" s="78">
        <f>E17</f>
        <v>0</v>
      </c>
      <c r="M7" s="78">
        <v>5</v>
      </c>
      <c r="N7" s="78">
        <v>0</v>
      </c>
      <c r="O7" s="78">
        <f>L7/M7/4</f>
        <v>0</v>
      </c>
      <c r="P7" s="78">
        <f t="shared" si="0"/>
        <v>0</v>
      </c>
      <c r="Q7" s="78">
        <f t="shared" si="0"/>
        <v>0</v>
      </c>
      <c r="R7" s="87">
        <f>SUM(N7:Q7)</f>
        <v>0</v>
      </c>
      <c r="S7" s="87">
        <f>L7/M7/4</f>
        <v>0</v>
      </c>
      <c r="T7" s="94">
        <f>S7</f>
        <v>0</v>
      </c>
    </row>
    <row r="8" spans="2:20" ht="12.6" customHeight="1" x14ac:dyDescent="0.3">
      <c r="B8" s="21"/>
      <c r="C8" s="3"/>
      <c r="D8" s="3"/>
      <c r="E8" s="17">
        <f t="shared" si="1"/>
        <v>0</v>
      </c>
      <c r="F8" s="411"/>
      <c r="K8" s="88" t="s">
        <v>100</v>
      </c>
      <c r="L8" s="88">
        <f>SUM(L5:L7)</f>
        <v>142189.4</v>
      </c>
      <c r="M8" s="88"/>
      <c r="N8" s="88">
        <f>SUM(N5:N7)</f>
        <v>222.2222222222222</v>
      </c>
      <c r="O8" s="88">
        <f t="shared" ref="O8:T8" si="2">SUM(O5:O7)</f>
        <v>7242.8033333333324</v>
      </c>
      <c r="P8" s="88">
        <f t="shared" si="2"/>
        <v>7242.8033333333324</v>
      </c>
      <c r="Q8" s="88">
        <f t="shared" si="2"/>
        <v>7242.8033333333324</v>
      </c>
      <c r="R8" s="88">
        <f t="shared" si="2"/>
        <v>21950.632222222219</v>
      </c>
      <c r="S8" s="88">
        <f t="shared" si="2"/>
        <v>28971.21333333333</v>
      </c>
      <c r="T8" s="88">
        <f t="shared" si="2"/>
        <v>28971.21333333333</v>
      </c>
    </row>
    <row r="9" spans="2:20" ht="17.45" customHeight="1" x14ac:dyDescent="0.3">
      <c r="B9" s="21"/>
      <c r="C9" s="3"/>
      <c r="D9" s="3"/>
      <c r="E9" s="17">
        <f t="shared" si="1"/>
        <v>0</v>
      </c>
      <c r="F9" s="411"/>
      <c r="K9" s="77" t="str">
        <f>B23</f>
        <v>II. Investitia - Active  necorporale</v>
      </c>
      <c r="L9" s="79" t="s">
        <v>97</v>
      </c>
      <c r="M9" s="79" t="s">
        <v>98</v>
      </c>
      <c r="N9" s="79" t="s">
        <v>102</v>
      </c>
      <c r="O9" s="79" t="s">
        <v>103</v>
      </c>
      <c r="P9" s="79" t="s">
        <v>104</v>
      </c>
      <c r="Q9" s="79" t="s">
        <v>105</v>
      </c>
      <c r="R9" s="79" t="s">
        <v>106</v>
      </c>
      <c r="S9" s="79" t="s">
        <v>107</v>
      </c>
      <c r="T9" s="79" t="s">
        <v>108</v>
      </c>
    </row>
    <row r="10" spans="2:20" ht="15.6" customHeight="1" x14ac:dyDescent="0.3">
      <c r="B10" s="21"/>
      <c r="C10" s="3"/>
      <c r="D10" s="3"/>
      <c r="E10" s="17">
        <f t="shared" si="1"/>
        <v>0</v>
      </c>
      <c r="F10" s="411"/>
      <c r="K10" s="214" t="str">
        <f>B25</f>
        <v>II.1.Programe de calculator</v>
      </c>
      <c r="L10" s="78">
        <f>E25</f>
        <v>1500</v>
      </c>
      <c r="M10" s="78">
        <f>F25</f>
        <v>3</v>
      </c>
      <c r="N10" s="78">
        <f>L10/M10/12*2</f>
        <v>83.333333333333329</v>
      </c>
      <c r="O10" s="78">
        <f>L10/M10/4</f>
        <v>125</v>
      </c>
      <c r="P10" s="78">
        <f>O10</f>
        <v>125</v>
      </c>
      <c r="Q10" s="78">
        <f>P10</f>
        <v>125</v>
      </c>
      <c r="R10" s="78">
        <f>SUM(N10:Q10)</f>
        <v>458.33333333333331</v>
      </c>
      <c r="S10" s="78">
        <f>L10/M10</f>
        <v>500</v>
      </c>
      <c r="T10" s="94">
        <f>S10</f>
        <v>500</v>
      </c>
    </row>
    <row r="11" spans="2:20" ht="15.6" customHeight="1" thickBot="1" x14ac:dyDescent="0.35">
      <c r="B11" s="216"/>
      <c r="C11" s="217"/>
      <c r="D11" s="217"/>
      <c r="E11" s="17">
        <f t="shared" si="1"/>
        <v>0</v>
      </c>
      <c r="F11" s="213"/>
      <c r="K11" s="214"/>
      <c r="L11" s="78"/>
      <c r="M11" s="78"/>
      <c r="N11" s="78"/>
      <c r="O11" s="78"/>
      <c r="P11" s="78"/>
      <c r="Q11" s="78"/>
      <c r="R11" s="78"/>
      <c r="S11" s="78"/>
      <c r="T11" s="94"/>
    </row>
    <row r="12" spans="2:20" x14ac:dyDescent="0.3">
      <c r="B12" s="18" t="s">
        <v>112</v>
      </c>
      <c r="C12" s="25"/>
      <c r="D12" s="25">
        <f>SUM(D13:D16)</f>
        <v>1</v>
      </c>
      <c r="E12" s="25">
        <f>SUM(E13:E16)</f>
        <v>4000</v>
      </c>
      <c r="F12" s="410">
        <v>3</v>
      </c>
      <c r="H12" s="7"/>
      <c r="K12" s="214" t="str">
        <f>B26</f>
        <v>II.2. Marci brevete</v>
      </c>
      <c r="L12" s="94">
        <f>E26</f>
        <v>0</v>
      </c>
      <c r="M12" s="78">
        <f>F26</f>
        <v>5</v>
      </c>
      <c r="N12" s="5"/>
      <c r="O12" s="78">
        <f>L12/M12/4</f>
        <v>0</v>
      </c>
      <c r="P12" s="78">
        <f>O12</f>
        <v>0</v>
      </c>
      <c r="Q12" s="78">
        <f>P12</f>
        <v>0</v>
      </c>
      <c r="R12" s="78">
        <f>SUM(N12:Q12)</f>
        <v>0</v>
      </c>
      <c r="S12" s="78">
        <f>Q12</f>
        <v>0</v>
      </c>
      <c r="T12" s="94">
        <f>S12</f>
        <v>0</v>
      </c>
    </row>
    <row r="13" spans="2:20" x14ac:dyDescent="0.3">
      <c r="B13" s="20" t="s">
        <v>170</v>
      </c>
      <c r="C13" s="3">
        <v>4000</v>
      </c>
      <c r="D13" s="3">
        <v>1</v>
      </c>
      <c r="E13" s="17">
        <f>C13*D13</f>
        <v>4000</v>
      </c>
      <c r="F13" s="411"/>
      <c r="K13" s="88" t="str">
        <f>B27</f>
        <v>II.3 Alte active necorporale</v>
      </c>
      <c r="L13" s="94">
        <f>E27</f>
        <v>0</v>
      </c>
      <c r="M13" s="78">
        <v>3</v>
      </c>
      <c r="N13" s="88"/>
      <c r="O13" s="78">
        <f>L13/M13/4</f>
        <v>0</v>
      </c>
      <c r="P13" s="78">
        <f>O13</f>
        <v>0</v>
      </c>
      <c r="Q13" s="78">
        <f>P13</f>
        <v>0</v>
      </c>
      <c r="R13" s="78">
        <f>SUM(N13:Q13)</f>
        <v>0</v>
      </c>
      <c r="S13" s="78">
        <f>Q13</f>
        <v>0</v>
      </c>
      <c r="T13" s="1"/>
    </row>
    <row r="14" spans="2:20" ht="11.45" customHeight="1" thickBot="1" x14ac:dyDescent="0.35">
      <c r="B14" s="74"/>
      <c r="C14" s="3"/>
      <c r="D14" s="3"/>
      <c r="E14" s="17"/>
      <c r="F14" s="411"/>
      <c r="K14" s="80" t="s">
        <v>101</v>
      </c>
      <c r="L14" s="94">
        <f>SUM(L10:L13)</f>
        <v>1500</v>
      </c>
      <c r="M14" s="78"/>
      <c r="N14" s="80">
        <f t="shared" ref="N14:T14" si="3">SUM(N10:N13)</f>
        <v>83.333333333333329</v>
      </c>
      <c r="O14" s="80">
        <f t="shared" si="3"/>
        <v>125</v>
      </c>
      <c r="P14" s="80">
        <f t="shared" si="3"/>
        <v>125</v>
      </c>
      <c r="Q14" s="80">
        <f t="shared" si="3"/>
        <v>125</v>
      </c>
      <c r="R14" s="80">
        <f t="shared" si="3"/>
        <v>458.33333333333331</v>
      </c>
      <c r="S14" s="80">
        <f t="shared" si="3"/>
        <v>500</v>
      </c>
      <c r="T14" s="80">
        <f t="shared" si="3"/>
        <v>500</v>
      </c>
    </row>
    <row r="15" spans="2:20" ht="17.25" thickBot="1" x14ac:dyDescent="0.35">
      <c r="B15" s="21"/>
      <c r="C15" s="3"/>
      <c r="D15" s="3"/>
      <c r="E15" s="17">
        <v>0</v>
      </c>
      <c r="F15" s="411"/>
      <c r="K15" s="215" t="s">
        <v>119</v>
      </c>
      <c r="L15" s="95">
        <f>L8+L14</f>
        <v>143689.4</v>
      </c>
      <c r="M15" s="95">
        <f t="shared" ref="M15:T15" si="4">M8+M14</f>
        <v>0</v>
      </c>
      <c r="N15" s="95">
        <f t="shared" si="4"/>
        <v>305.55555555555554</v>
      </c>
      <c r="O15" s="95">
        <f t="shared" si="4"/>
        <v>7367.8033333333324</v>
      </c>
      <c r="P15" s="95">
        <f t="shared" si="4"/>
        <v>7367.8033333333324</v>
      </c>
      <c r="Q15" s="95">
        <f t="shared" si="4"/>
        <v>7367.8033333333324</v>
      </c>
      <c r="R15" s="95">
        <f t="shared" si="4"/>
        <v>22408.965555555551</v>
      </c>
      <c r="S15" s="95">
        <f t="shared" si="4"/>
        <v>29471.21333333333</v>
      </c>
      <c r="T15" s="95">
        <f t="shared" si="4"/>
        <v>29471.21333333333</v>
      </c>
    </row>
    <row r="16" spans="2:20" ht="17.25" thickBot="1" x14ac:dyDescent="0.35">
      <c r="B16" s="22"/>
      <c r="C16" s="4"/>
      <c r="D16" s="3"/>
      <c r="E16" s="26">
        <v>0</v>
      </c>
      <c r="F16" s="412"/>
      <c r="L16" s="81"/>
      <c r="M16" s="81"/>
      <c r="N16" s="81"/>
      <c r="O16" s="81"/>
      <c r="P16" s="81"/>
      <c r="Q16" s="81"/>
      <c r="R16" s="81"/>
      <c r="S16" s="81"/>
    </row>
    <row r="17" spans="1:11" ht="16.5" customHeight="1" x14ac:dyDescent="0.3">
      <c r="B17" s="18" t="s">
        <v>113</v>
      </c>
      <c r="C17" s="27"/>
      <c r="D17" s="25">
        <v>1</v>
      </c>
      <c r="E17" s="28">
        <f>SUM(E18:E20)</f>
        <v>0</v>
      </c>
      <c r="F17" s="410">
        <v>5</v>
      </c>
    </row>
    <row r="18" spans="1:11" x14ac:dyDescent="0.3">
      <c r="B18" s="20"/>
      <c r="C18" s="3"/>
      <c r="D18" s="3"/>
      <c r="E18" s="17">
        <f>C18*D18</f>
        <v>0</v>
      </c>
      <c r="F18" s="411"/>
    </row>
    <row r="19" spans="1:11" x14ac:dyDescent="0.3">
      <c r="B19" s="21"/>
      <c r="C19" s="3"/>
      <c r="D19" s="3"/>
      <c r="E19" s="17">
        <v>0</v>
      </c>
      <c r="F19" s="411"/>
      <c r="K19" s="111"/>
    </row>
    <row r="20" spans="1:11" ht="17.25" thickBot="1" x14ac:dyDescent="0.35">
      <c r="B20" s="24"/>
      <c r="C20" s="4"/>
      <c r="D20" s="4"/>
      <c r="E20" s="26">
        <v>0</v>
      </c>
      <c r="F20" s="412"/>
      <c r="K20" s="111"/>
    </row>
    <row r="21" spans="1:11" ht="17.25" thickBot="1" x14ac:dyDescent="0.35">
      <c r="B21" s="30" t="s">
        <v>122</v>
      </c>
      <c r="C21" s="31" t="s">
        <v>78</v>
      </c>
      <c r="D21" s="37">
        <v>7</v>
      </c>
      <c r="E21" s="38">
        <f>E5+E12+E17</f>
        <v>142189.4</v>
      </c>
    </row>
    <row r="22" spans="1:11" x14ac:dyDescent="0.3">
      <c r="B22" s="82"/>
      <c r="C22" s="83"/>
      <c r="D22" s="84"/>
      <c r="E22" s="84"/>
    </row>
    <row r="23" spans="1:11" ht="49.5" x14ac:dyDescent="0.3">
      <c r="B23" s="77" t="s">
        <v>118</v>
      </c>
      <c r="C23" s="29" t="s">
        <v>96</v>
      </c>
      <c r="D23" s="29" t="s">
        <v>75</v>
      </c>
      <c r="E23" s="29" t="s">
        <v>76</v>
      </c>
      <c r="F23" s="29" t="s">
        <v>77</v>
      </c>
    </row>
    <row r="24" spans="1:11" ht="27.95" customHeight="1" x14ac:dyDescent="0.3">
      <c r="B24" s="404" t="s">
        <v>114</v>
      </c>
      <c r="C24" s="405"/>
      <c r="D24" s="405"/>
      <c r="E24" s="405"/>
      <c r="F24" s="406"/>
    </row>
    <row r="25" spans="1:11" x14ac:dyDescent="0.3">
      <c r="B25" s="75" t="s">
        <v>115</v>
      </c>
      <c r="C25" s="85">
        <v>1500</v>
      </c>
      <c r="D25" s="86">
        <v>1</v>
      </c>
      <c r="E25" s="86">
        <f>C25*D25</f>
        <v>1500</v>
      </c>
      <c r="F25" s="1">
        <v>3</v>
      </c>
    </row>
    <row r="26" spans="1:11" x14ac:dyDescent="0.3">
      <c r="B26" s="75" t="s">
        <v>116</v>
      </c>
      <c r="C26" s="85"/>
      <c r="D26" s="86"/>
      <c r="E26" s="86"/>
      <c r="F26" s="1">
        <v>5</v>
      </c>
    </row>
    <row r="27" spans="1:11" x14ac:dyDescent="0.3">
      <c r="B27" s="75" t="s">
        <v>117</v>
      </c>
      <c r="C27" s="85"/>
      <c r="D27" s="86"/>
      <c r="E27" s="86"/>
      <c r="F27" s="1"/>
    </row>
    <row r="28" spans="1:11" ht="17.25" thickBot="1" x14ac:dyDescent="0.35">
      <c r="B28" s="75"/>
      <c r="C28" s="85"/>
      <c r="D28" s="86"/>
      <c r="E28" s="86"/>
      <c r="F28" s="1"/>
    </row>
    <row r="29" spans="1:11" ht="17.25" thickBot="1" x14ac:dyDescent="0.35">
      <c r="B29" s="30" t="s">
        <v>123</v>
      </c>
      <c r="C29" s="31" t="s">
        <v>78</v>
      </c>
      <c r="D29" s="37">
        <v>7</v>
      </c>
      <c r="E29" s="38">
        <f>SUM(E25:E28)</f>
        <v>1500</v>
      </c>
      <c r="F29" s="1"/>
    </row>
    <row r="30" spans="1:11" ht="32.450000000000003" customHeight="1" x14ac:dyDescent="0.3">
      <c r="A30" s="2"/>
      <c r="B30" s="2"/>
      <c r="C30" s="2"/>
      <c r="D30" s="2"/>
      <c r="E30" s="2"/>
      <c r="F30" s="2"/>
    </row>
    <row r="31" spans="1:11" ht="33" x14ac:dyDescent="0.3">
      <c r="A31" s="2"/>
      <c r="B31" s="6" t="s">
        <v>120</v>
      </c>
      <c r="C31" s="29" t="s">
        <v>79</v>
      </c>
      <c r="D31" s="29" t="s">
        <v>75</v>
      </c>
      <c r="E31" s="29" t="s">
        <v>76</v>
      </c>
      <c r="F31" s="82"/>
    </row>
    <row r="32" spans="1:11" x14ac:dyDescent="0.3">
      <c r="A32" s="2"/>
      <c r="B32" s="6" t="s">
        <v>80</v>
      </c>
      <c r="C32" s="6">
        <v>1200</v>
      </c>
      <c r="D32" s="6">
        <v>1</v>
      </c>
      <c r="E32" s="16">
        <f t="shared" ref="E32:E37" si="5">C32*D32</f>
        <v>1200</v>
      </c>
      <c r="F32" s="2"/>
    </row>
    <row r="33" spans="1:6" x14ac:dyDescent="0.3">
      <c r="A33" s="2"/>
      <c r="B33" s="6" t="s">
        <v>177</v>
      </c>
      <c r="C33" s="6">
        <v>2000</v>
      </c>
      <c r="D33" s="6">
        <v>2</v>
      </c>
      <c r="E33" s="16">
        <f t="shared" si="5"/>
        <v>4000</v>
      </c>
      <c r="F33" s="2"/>
    </row>
    <row r="34" spans="1:6" outlineLevel="1" x14ac:dyDescent="0.3">
      <c r="A34" s="2"/>
      <c r="B34" s="6"/>
      <c r="C34" s="6"/>
      <c r="D34" s="6"/>
      <c r="E34" s="16">
        <f t="shared" si="5"/>
        <v>0</v>
      </c>
      <c r="F34" s="2"/>
    </row>
    <row r="35" spans="1:6" outlineLevel="1" x14ac:dyDescent="0.3">
      <c r="A35" s="2"/>
      <c r="B35" s="6"/>
      <c r="C35" s="6"/>
      <c r="D35" s="6">
        <v>0</v>
      </c>
      <c r="E35" s="16">
        <f t="shared" si="5"/>
        <v>0</v>
      </c>
      <c r="F35" s="2"/>
    </row>
    <row r="36" spans="1:6" outlineLevel="1" x14ac:dyDescent="0.3">
      <c r="A36" s="2"/>
      <c r="B36" s="6"/>
      <c r="C36" s="6"/>
      <c r="D36" s="6"/>
      <c r="E36" s="16">
        <f t="shared" si="5"/>
        <v>0</v>
      </c>
      <c r="F36" s="2"/>
    </row>
    <row r="37" spans="1:6" outlineLevel="1" x14ac:dyDescent="0.3">
      <c r="A37" s="2"/>
      <c r="B37" s="6"/>
      <c r="C37" s="6"/>
      <c r="D37" s="6"/>
      <c r="E37" s="16">
        <f t="shared" si="5"/>
        <v>0</v>
      </c>
      <c r="F37" s="2"/>
    </row>
    <row r="38" spans="1:6" outlineLevel="1" x14ac:dyDescent="0.3">
      <c r="A38" s="2"/>
      <c r="B38" s="6"/>
      <c r="C38" s="6"/>
      <c r="D38" s="6"/>
      <c r="E38" s="16">
        <v>0</v>
      </c>
      <c r="F38" s="2"/>
    </row>
    <row r="39" spans="1:6" x14ac:dyDescent="0.3">
      <c r="A39" s="2"/>
      <c r="B39" s="6" t="s">
        <v>121</v>
      </c>
      <c r="C39" s="6"/>
      <c r="D39" s="6"/>
      <c r="E39" s="16">
        <f>SUM(E32:E38)</f>
        <v>5200</v>
      </c>
      <c r="F39" s="2"/>
    </row>
    <row r="40" spans="1:6" x14ac:dyDescent="0.3">
      <c r="A40" s="2"/>
      <c r="B40" s="89"/>
      <c r="C40" s="90"/>
      <c r="D40" s="90"/>
      <c r="E40" s="91"/>
      <c r="F40" s="2"/>
    </row>
    <row r="41" spans="1:6" ht="29.45" customHeight="1" x14ac:dyDescent="0.3">
      <c r="B41" s="92" t="s">
        <v>124</v>
      </c>
      <c r="C41" s="29" t="s">
        <v>79</v>
      </c>
      <c r="D41" s="29" t="s">
        <v>75</v>
      </c>
      <c r="E41" s="29" t="s">
        <v>76</v>
      </c>
      <c r="F41" s="413"/>
    </row>
    <row r="42" spans="1:6" x14ac:dyDescent="0.3">
      <c r="B42" s="72" t="s">
        <v>175</v>
      </c>
      <c r="C42" s="3"/>
      <c r="D42" s="3">
        <v>1</v>
      </c>
      <c r="E42" s="17">
        <f>C42*D42</f>
        <v>0</v>
      </c>
      <c r="F42" s="413"/>
    </row>
    <row r="43" spans="1:6" x14ac:dyDescent="0.3">
      <c r="B43" s="72" t="s">
        <v>171</v>
      </c>
      <c r="C43" s="3"/>
      <c r="D43" s="3">
        <v>1</v>
      </c>
      <c r="E43" s="17">
        <f>C43*D43</f>
        <v>0</v>
      </c>
      <c r="F43" s="413"/>
    </row>
    <row r="44" spans="1:6" x14ac:dyDescent="0.3">
      <c r="B44" s="72" t="s">
        <v>173</v>
      </c>
      <c r="C44" s="3"/>
      <c r="D44" s="3">
        <v>1</v>
      </c>
      <c r="E44" s="17">
        <f>C44*D44</f>
        <v>0</v>
      </c>
      <c r="F44" s="413"/>
    </row>
    <row r="45" spans="1:6" x14ac:dyDescent="0.3">
      <c r="B45" s="76"/>
      <c r="C45" s="3"/>
      <c r="D45" s="3"/>
      <c r="E45" s="17">
        <f>C45*D45</f>
        <v>0</v>
      </c>
      <c r="F45" s="413"/>
    </row>
    <row r="46" spans="1:6" x14ac:dyDescent="0.3">
      <c r="B46" s="76"/>
      <c r="C46" s="3"/>
      <c r="D46" s="3"/>
      <c r="E46" s="17">
        <f>C46*D46</f>
        <v>0</v>
      </c>
      <c r="F46" s="413"/>
    </row>
    <row r="47" spans="1:6" x14ac:dyDescent="0.3">
      <c r="B47" s="76"/>
      <c r="C47" s="3"/>
      <c r="D47" s="3"/>
      <c r="E47" s="17">
        <f>SUM(E42:E46)</f>
        <v>0</v>
      </c>
      <c r="F47" s="413"/>
    </row>
    <row r="48" spans="1:6" ht="17.25" thickBot="1" x14ac:dyDescent="0.35">
      <c r="A48" s="2"/>
      <c r="B48" s="2"/>
      <c r="C48" s="2"/>
      <c r="D48" s="2"/>
      <c r="E48" s="34"/>
      <c r="F48" s="2"/>
    </row>
    <row r="49" spans="2:9" x14ac:dyDescent="0.3">
      <c r="B49" s="18" t="s">
        <v>125</v>
      </c>
      <c r="C49" s="35" t="s">
        <v>81</v>
      </c>
      <c r="D49" s="35" t="s">
        <v>75</v>
      </c>
      <c r="E49" s="36" t="s">
        <v>82</v>
      </c>
    </row>
    <row r="50" spans="2:9" x14ac:dyDescent="0.3">
      <c r="B50" s="23" t="s">
        <v>83</v>
      </c>
      <c r="C50" s="6"/>
      <c r="D50" s="16">
        <v>3</v>
      </c>
      <c r="E50" s="19">
        <f>SUM(E51:E53)</f>
        <v>5000</v>
      </c>
      <c r="F50" s="15"/>
    </row>
    <row r="51" spans="2:9" ht="33" x14ac:dyDescent="0.3">
      <c r="B51" s="32" t="s">
        <v>176</v>
      </c>
      <c r="C51" s="5">
        <v>1000</v>
      </c>
      <c r="D51" s="5">
        <v>1</v>
      </c>
      <c r="E51" s="19">
        <f>C51*D51</f>
        <v>1000</v>
      </c>
      <c r="F51" s="15"/>
    </row>
    <row r="52" spans="2:9" ht="33" x14ac:dyDescent="0.3">
      <c r="B52" s="33" t="s">
        <v>84</v>
      </c>
      <c r="C52" s="5">
        <v>2500</v>
      </c>
      <c r="D52" s="5">
        <v>1</v>
      </c>
      <c r="E52" s="19">
        <f>C52*D52</f>
        <v>2500</v>
      </c>
      <c r="F52" s="15"/>
    </row>
    <row r="53" spans="2:9" ht="17.25" thickBot="1" x14ac:dyDescent="0.35">
      <c r="B53" s="54" t="s">
        <v>85</v>
      </c>
      <c r="C53" s="55">
        <v>1500</v>
      </c>
      <c r="D53" s="55">
        <v>1</v>
      </c>
      <c r="E53" s="19">
        <f>C53*D53</f>
        <v>1500</v>
      </c>
      <c r="F53" s="15"/>
    </row>
    <row r="54" spans="2:9" ht="17.25" thickBot="1" x14ac:dyDescent="0.35">
      <c r="B54" s="14"/>
      <c r="C54" s="7"/>
      <c r="D54" s="7"/>
      <c r="E54" s="7"/>
      <c r="F54" s="15"/>
    </row>
    <row r="55" spans="2:9" ht="33" x14ac:dyDescent="0.3">
      <c r="B55" s="42" t="s">
        <v>126</v>
      </c>
      <c r="C55" s="39" t="s">
        <v>82</v>
      </c>
      <c r="D55" s="40" t="s">
        <v>86</v>
      </c>
      <c r="I55" s="69"/>
    </row>
    <row r="56" spans="2:9" ht="33" x14ac:dyDescent="0.3">
      <c r="B56" s="33" t="str">
        <f>B4</f>
        <v>I.Active corporale cu valoare unitara mai mare de 2500 lei ( TVA inclus)</v>
      </c>
      <c r="C56" s="46">
        <f>E21</f>
        <v>142189.4</v>
      </c>
      <c r="D56" s="47">
        <f>C56/C61</f>
        <v>0.92397137164742993</v>
      </c>
      <c r="E56" t="s">
        <v>169</v>
      </c>
      <c r="I56" s="70"/>
    </row>
    <row r="57" spans="2:9" ht="33" x14ac:dyDescent="0.3">
      <c r="B57" s="93" t="str">
        <f>B24</f>
        <v>II. Investitia - Active  necorporale cu valoare unitara mai mare de 2500 lei ( TVA inclus)</v>
      </c>
      <c r="C57" s="48">
        <f>E29</f>
        <v>1500</v>
      </c>
      <c r="D57" s="49">
        <f>C57/C61</f>
        <v>9.7472600452012947E-3</v>
      </c>
      <c r="E57" t="s">
        <v>169</v>
      </c>
    </row>
    <row r="58" spans="2:9" x14ac:dyDescent="0.3">
      <c r="B58" s="41" t="str">
        <f>B31</f>
        <v xml:space="preserve">III. Obiecte de inventar ( valoare achizitie &lt;2500 lei TVA inclus) </v>
      </c>
      <c r="C58" s="48">
        <f>E39</f>
        <v>5200</v>
      </c>
      <c r="D58" s="49">
        <f>C58/C61</f>
        <v>3.3790501490031155E-2</v>
      </c>
      <c r="E58" t="s">
        <v>169</v>
      </c>
    </row>
    <row r="59" spans="2:9" x14ac:dyDescent="0.3">
      <c r="B59" s="33" t="str">
        <f>B41</f>
        <v>IV. Amanenajari spatii de Productie /Prestari servicii/Comert</v>
      </c>
      <c r="C59" s="48">
        <f>E47</f>
        <v>0</v>
      </c>
      <c r="D59" s="49">
        <v>0</v>
      </c>
      <c r="E59" t="s">
        <v>169</v>
      </c>
    </row>
    <row r="60" spans="2:9" ht="17.25" thickBot="1" x14ac:dyDescent="0.35">
      <c r="B60" s="43" t="str">
        <f>B49</f>
        <v>V. Cheltuieli anterioare productiei</v>
      </c>
      <c r="C60" s="199">
        <f>E50</f>
        <v>5000</v>
      </c>
      <c r="D60" s="50">
        <f>C60/C61</f>
        <v>3.2490866817337649E-2</v>
      </c>
      <c r="E60" t="s">
        <v>169</v>
      </c>
    </row>
    <row r="61" spans="2:9" ht="17.25" thickBot="1" x14ac:dyDescent="0.35">
      <c r="B61" s="44" t="s">
        <v>87</v>
      </c>
      <c r="C61" s="51">
        <f>SUM(C56:C60)</f>
        <v>153889.4</v>
      </c>
      <c r="D61" s="52">
        <v>1</v>
      </c>
      <c r="F61" s="8"/>
    </row>
    <row r="62" spans="2:9" ht="17.25" thickBot="1" x14ac:dyDescent="0.35"/>
    <row r="63" spans="2:9" ht="17.25" thickBot="1" x14ac:dyDescent="0.35">
      <c r="B63" s="12" t="s">
        <v>127</v>
      </c>
      <c r="C63" s="11" t="s">
        <v>78</v>
      </c>
      <c r="D63" s="11" t="s">
        <v>88</v>
      </c>
    </row>
    <row r="64" spans="2:9" ht="17.25" thickBot="1" x14ac:dyDescent="0.35">
      <c r="B64" s="13" t="s">
        <v>89</v>
      </c>
      <c r="C64" s="58"/>
      <c r="D64" s="58"/>
    </row>
    <row r="65" spans="1:14" ht="17.25" thickBot="1" x14ac:dyDescent="0.35">
      <c r="B65" s="56" t="s">
        <v>90</v>
      </c>
      <c r="C65" s="66">
        <v>178340</v>
      </c>
      <c r="D65" s="71">
        <v>1</v>
      </c>
      <c r="F65" s="8">
        <v>178340</v>
      </c>
      <c r="G65">
        <v>133755</v>
      </c>
    </row>
    <row r="66" spans="1:14" ht="33.75" thickBot="1" x14ac:dyDescent="0.35">
      <c r="B66" s="56" t="s">
        <v>91</v>
      </c>
      <c r="C66" s="10">
        <v>0</v>
      </c>
      <c r="D66" s="45"/>
      <c r="F66" s="200">
        <f>F65/40000</f>
        <v>4.4584999999999999</v>
      </c>
      <c r="G66" t="s">
        <v>450</v>
      </c>
    </row>
    <row r="67" spans="1:14" ht="17.25" thickBot="1" x14ac:dyDescent="0.35">
      <c r="B67" s="57" t="s">
        <v>92</v>
      </c>
      <c r="C67" s="10"/>
      <c r="D67" s="45"/>
    </row>
    <row r="68" spans="1:14" ht="33.75" thickBot="1" x14ac:dyDescent="0.35">
      <c r="B68" s="56" t="s">
        <v>93</v>
      </c>
      <c r="C68" s="66">
        <f>C61</f>
        <v>153889.4</v>
      </c>
      <c r="D68" s="67">
        <f>C68/C70</f>
        <v>0.86289895704833464</v>
      </c>
    </row>
    <row r="69" spans="1:14" ht="17.25" thickBot="1" x14ac:dyDescent="0.35">
      <c r="B69" s="56" t="s">
        <v>94</v>
      </c>
      <c r="C69" s="66">
        <f>C65-C68</f>
        <v>24450.600000000006</v>
      </c>
      <c r="D69" s="67">
        <f>C69/C70</f>
        <v>0.13710104295166539</v>
      </c>
      <c r="I69" s="7"/>
      <c r="J69" s="7"/>
    </row>
    <row r="70" spans="1:14" ht="17.25" thickBot="1" x14ac:dyDescent="0.35">
      <c r="B70" s="13" t="s">
        <v>95</v>
      </c>
      <c r="C70" s="66">
        <f>C65</f>
        <v>178340</v>
      </c>
      <c r="D70" s="68"/>
      <c r="I70" s="7"/>
      <c r="J70" s="7"/>
    </row>
    <row r="71" spans="1:14" x14ac:dyDescent="0.3">
      <c r="D71" s="53"/>
      <c r="I71" s="14"/>
      <c r="J71" s="65"/>
      <c r="K71" s="65"/>
    </row>
    <row r="72" spans="1:14" x14ac:dyDescent="0.3">
      <c r="A72" s="7"/>
      <c r="B72" s="14"/>
      <c r="C72" s="7"/>
      <c r="D72" s="7"/>
      <c r="E72" s="7"/>
      <c r="F72" s="7"/>
      <c r="G72" s="7"/>
      <c r="H72" s="7"/>
      <c r="I72" s="7"/>
      <c r="J72" s="7"/>
      <c r="L72" s="7"/>
      <c r="M72" s="7"/>
      <c r="N72" s="7"/>
    </row>
    <row r="74" spans="1:14" x14ac:dyDescent="0.3">
      <c r="B74" s="59"/>
      <c r="C74" s="60"/>
      <c r="D74" s="60"/>
    </row>
    <row r="75" spans="1:14" x14ac:dyDescent="0.3">
      <c r="B75" s="61"/>
      <c r="C75" s="60"/>
      <c r="D75" s="62"/>
    </row>
    <row r="76" spans="1:14" x14ac:dyDescent="0.3">
      <c r="B76" s="63"/>
      <c r="C76" s="60"/>
      <c r="D76" s="60"/>
    </row>
    <row r="77" spans="1:14" x14ac:dyDescent="0.3">
      <c r="B77" s="63"/>
      <c r="C77" s="60"/>
      <c r="D77" s="60"/>
    </row>
    <row r="78" spans="1:14" x14ac:dyDescent="0.3">
      <c r="B78" s="64"/>
      <c r="C78" s="60"/>
      <c r="D78" s="62"/>
    </row>
    <row r="79" spans="1:14" x14ac:dyDescent="0.3">
      <c r="B79" s="63"/>
      <c r="C79" s="60"/>
      <c r="D79" s="60"/>
    </row>
    <row r="80" spans="1:14" x14ac:dyDescent="0.3">
      <c r="B80" s="63"/>
      <c r="C80" s="60"/>
      <c r="D80" s="60"/>
    </row>
    <row r="88" spans="2:2" x14ac:dyDescent="0.3">
      <c r="B88" s="7"/>
    </row>
    <row r="89" spans="2:2" x14ac:dyDescent="0.3">
      <c r="B89" s="7"/>
    </row>
    <row r="90" spans="2:2" x14ac:dyDescent="0.3">
      <c r="B90" s="7"/>
    </row>
    <row r="91" spans="2:2" x14ac:dyDescent="0.3">
      <c r="B91" s="7"/>
    </row>
    <row r="92" spans="2:2" x14ac:dyDescent="0.3">
      <c r="B92" s="7"/>
    </row>
    <row r="93" spans="2:2" x14ac:dyDescent="0.3">
      <c r="B93" s="7"/>
    </row>
    <row r="94" spans="2:2" x14ac:dyDescent="0.3">
      <c r="B94" s="7"/>
    </row>
    <row r="95" spans="2:2" x14ac:dyDescent="0.3">
      <c r="B95" s="7"/>
    </row>
    <row r="96" spans="2:2" x14ac:dyDescent="0.3">
      <c r="B96" s="7"/>
    </row>
    <row r="97" spans="2:2" x14ac:dyDescent="0.3">
      <c r="B97" s="7"/>
    </row>
  </sheetData>
  <mergeCells count="7">
    <mergeCell ref="B24:F24"/>
    <mergeCell ref="B4:F4"/>
    <mergeCell ref="K3:S3"/>
    <mergeCell ref="F17:F20"/>
    <mergeCell ref="F41:F47"/>
    <mergeCell ref="F5:F10"/>
    <mergeCell ref="F12:F16"/>
  </mergeCells>
  <pageMargins left="0.7" right="0.7" top="0.75" bottom="0.75" header="0.3" footer="0.3"/>
  <pageSetup orientation="portrait" verticalDpi="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B1:AE74"/>
  <sheetViews>
    <sheetView topLeftCell="B10" zoomScale="80" zoomScaleNormal="80" workbookViewId="0">
      <selection activeCell="O10" sqref="O10:Q10"/>
    </sheetView>
  </sheetViews>
  <sheetFormatPr baseColWidth="10" defaultColWidth="9.140625" defaultRowHeight="15" outlineLevelCol="1" x14ac:dyDescent="0.25"/>
  <cols>
    <col min="2" max="2" width="5.85546875" customWidth="1"/>
    <col min="3" max="3" width="27.28515625" customWidth="1"/>
    <col min="4" max="4" width="10.42578125" hidden="1" customWidth="1" outlineLevel="1"/>
    <col min="5" max="5" width="9.85546875" hidden="1" customWidth="1" outlineLevel="1"/>
    <col min="6" max="6" width="10.28515625" hidden="1" customWidth="1" outlineLevel="1"/>
    <col min="7" max="9" width="9.5703125" hidden="1" customWidth="1" outlineLevel="1"/>
    <col min="10" max="10" width="14.42578125" hidden="1" customWidth="1" outlineLevel="1"/>
    <col min="11" max="11" width="9.7109375" customWidth="1" collapsed="1"/>
    <col min="12" max="13" width="9.7109375" customWidth="1"/>
    <col min="14" max="14" width="10.140625" customWidth="1"/>
    <col min="15" max="17" width="9.85546875" bestFit="1" customWidth="1"/>
  </cols>
  <sheetData>
    <row r="1" spans="2:31" ht="16.5" x14ac:dyDescent="0.25">
      <c r="S1" s="97"/>
    </row>
    <row r="2" spans="2:31" ht="16.5" x14ac:dyDescent="0.3">
      <c r="I2" s="7"/>
      <c r="J2" s="7"/>
      <c r="K2" s="7"/>
      <c r="L2" s="7"/>
      <c r="M2" s="7"/>
      <c r="S2" s="97"/>
    </row>
    <row r="3" spans="2:31" ht="17.25" thickBot="1" x14ac:dyDescent="0.35">
      <c r="B3" s="432" t="s">
        <v>149</v>
      </c>
      <c r="C3" s="432"/>
      <c r="D3" s="432"/>
      <c r="E3" s="432"/>
      <c r="F3" s="432"/>
      <c r="G3" s="432"/>
      <c r="H3" s="432"/>
      <c r="I3" s="432"/>
      <c r="J3" s="433"/>
      <c r="K3" s="432"/>
      <c r="L3" s="432"/>
      <c r="M3" s="432"/>
      <c r="N3" s="432"/>
      <c r="O3" s="7"/>
      <c r="S3" s="97"/>
    </row>
    <row r="4" spans="2:31" ht="16.5" x14ac:dyDescent="0.3">
      <c r="B4" s="437" t="s">
        <v>174</v>
      </c>
      <c r="C4" s="438"/>
      <c r="D4" s="438" t="s">
        <v>128</v>
      </c>
      <c r="E4" s="438"/>
      <c r="F4" s="438"/>
      <c r="G4" s="438"/>
      <c r="H4" s="438"/>
      <c r="I4" s="441"/>
      <c r="J4" s="434" t="s">
        <v>262</v>
      </c>
      <c r="K4" s="442" t="s">
        <v>129</v>
      </c>
      <c r="L4" s="443"/>
      <c r="M4" s="443"/>
      <c r="N4" s="444"/>
      <c r="O4" s="435" t="s">
        <v>167</v>
      </c>
      <c r="P4" s="427" t="s">
        <v>267</v>
      </c>
      <c r="Q4" s="429" t="s">
        <v>268</v>
      </c>
      <c r="R4" s="426"/>
      <c r="S4" s="7"/>
      <c r="T4" s="97"/>
      <c r="V4" s="415" t="s">
        <v>148</v>
      </c>
      <c r="W4" s="415"/>
      <c r="X4" s="415"/>
      <c r="Y4" s="415"/>
      <c r="Z4" s="415"/>
      <c r="AA4" s="415"/>
      <c r="AB4" s="415"/>
      <c r="AC4" s="415"/>
      <c r="AD4" s="415"/>
      <c r="AE4" s="415"/>
    </row>
    <row r="5" spans="2:31" ht="15" customHeight="1" thickBot="1" x14ac:dyDescent="0.35">
      <c r="B5" s="439"/>
      <c r="C5" s="440"/>
      <c r="D5" s="206" t="s">
        <v>142</v>
      </c>
      <c r="E5" s="206" t="s">
        <v>143</v>
      </c>
      <c r="F5" s="206" t="s">
        <v>144</v>
      </c>
      <c r="G5" s="206" t="s">
        <v>145</v>
      </c>
      <c r="H5" s="206" t="s">
        <v>146</v>
      </c>
      <c r="I5" s="208" t="s">
        <v>266</v>
      </c>
      <c r="J5" s="426"/>
      <c r="K5" s="152" t="str">
        <f>D5</f>
        <v>an 1 trim 1</v>
      </c>
      <c r="L5" s="153" t="str">
        <f>E5</f>
        <v>an 1 trim 2</v>
      </c>
      <c r="M5" s="153" t="str">
        <f>F5</f>
        <v>an 1 trim 3</v>
      </c>
      <c r="N5" s="151" t="str">
        <f>G5</f>
        <v>an 1 trim 4</v>
      </c>
      <c r="O5" s="436"/>
      <c r="P5" s="428"/>
      <c r="Q5" s="430"/>
      <c r="R5" s="426"/>
      <c r="S5" s="7"/>
      <c r="T5" s="97"/>
      <c r="V5" s="140"/>
      <c r="W5" s="140" t="s">
        <v>162</v>
      </c>
      <c r="X5" s="140" t="s">
        <v>163</v>
      </c>
      <c r="Y5" s="140" t="s">
        <v>164</v>
      </c>
      <c r="Z5" s="140" t="s">
        <v>165</v>
      </c>
      <c r="AA5" s="140" t="s">
        <v>305</v>
      </c>
      <c r="AB5" s="140" t="s">
        <v>282</v>
      </c>
      <c r="AC5" s="140"/>
      <c r="AD5" s="140"/>
      <c r="AE5" s="146"/>
    </row>
    <row r="6" spans="2:31" ht="35.1" customHeight="1" x14ac:dyDescent="0.3">
      <c r="B6" s="96">
        <v>1</v>
      </c>
      <c r="C6" s="207" t="s">
        <v>263</v>
      </c>
      <c r="D6" s="113"/>
      <c r="E6" s="113">
        <f>400*3</f>
        <v>1200</v>
      </c>
      <c r="F6" s="113">
        <f>400*4</f>
        <v>1600</v>
      </c>
      <c r="G6" s="113">
        <f>400*3</f>
        <v>1200</v>
      </c>
      <c r="H6" s="113">
        <f>E6*4</f>
        <v>4800</v>
      </c>
      <c r="I6" s="209">
        <f>F6*4</f>
        <v>6400</v>
      </c>
      <c r="J6" s="203">
        <v>10</v>
      </c>
      <c r="K6" s="157">
        <f>D6*J6</f>
        <v>0</v>
      </c>
      <c r="L6" s="158">
        <f>E6*J6</f>
        <v>12000</v>
      </c>
      <c r="M6" s="158">
        <f>F6*J6</f>
        <v>16000</v>
      </c>
      <c r="N6" s="158">
        <f>G6*J6</f>
        <v>12000</v>
      </c>
      <c r="O6" s="159">
        <f>SUM(K6:N6)</f>
        <v>40000</v>
      </c>
      <c r="P6" s="160">
        <f>H6*J6</f>
        <v>48000</v>
      </c>
      <c r="Q6" s="160">
        <f>I6*J6</f>
        <v>64000</v>
      </c>
      <c r="R6" s="98">
        <f>O6/O10</f>
        <v>0.19047619047619047</v>
      </c>
      <c r="S6" s="98"/>
      <c r="T6" s="98"/>
      <c r="U6" s="140"/>
      <c r="V6" s="140" t="str">
        <f>C6</f>
        <v>amenajari peisagistice  de complexitate mica</v>
      </c>
      <c r="W6" s="143">
        <f>K6</f>
        <v>0</v>
      </c>
      <c r="X6" s="143">
        <f t="shared" ref="X6:AB9" si="0">L6</f>
        <v>12000</v>
      </c>
      <c r="Y6" s="143">
        <f t="shared" si="0"/>
        <v>16000</v>
      </c>
      <c r="Z6" s="143">
        <f t="shared" si="0"/>
        <v>12000</v>
      </c>
      <c r="AA6" s="143">
        <f t="shared" si="0"/>
        <v>40000</v>
      </c>
      <c r="AB6" s="143">
        <f t="shared" si="0"/>
        <v>48000</v>
      </c>
      <c r="AC6" s="147"/>
      <c r="AD6" s="147"/>
    </row>
    <row r="7" spans="2:31" ht="36.6" customHeight="1" x14ac:dyDescent="0.3">
      <c r="B7" s="96">
        <v>2</v>
      </c>
      <c r="C7" s="207" t="s">
        <v>264</v>
      </c>
      <c r="D7" s="113"/>
      <c r="E7" s="113">
        <f>400*2</f>
        <v>800</v>
      </c>
      <c r="F7" s="113">
        <f>400*2</f>
        <v>800</v>
      </c>
      <c r="G7" s="113">
        <v>400</v>
      </c>
      <c r="H7" s="113">
        <f>E7*6</f>
        <v>4800</v>
      </c>
      <c r="I7" s="209">
        <f>F7*8</f>
        <v>6400</v>
      </c>
      <c r="J7" s="204">
        <v>30</v>
      </c>
      <c r="K7" s="157">
        <f>D7*$J$7</f>
        <v>0</v>
      </c>
      <c r="L7" s="158">
        <f t="shared" ref="L7:L9" si="1">E7*J7</f>
        <v>24000</v>
      </c>
      <c r="M7" s="158">
        <f t="shared" ref="M7:M9" si="2">F7*J7</f>
        <v>24000</v>
      </c>
      <c r="N7" s="158">
        <f t="shared" ref="N7:N9" si="3">G7*J7</f>
        <v>12000</v>
      </c>
      <c r="O7" s="159">
        <f t="shared" ref="O7:O9" si="4">SUM(K7:N7)</f>
        <v>60000</v>
      </c>
      <c r="P7" s="160">
        <f t="shared" ref="P7:P9" si="5">H7*J7</f>
        <v>144000</v>
      </c>
      <c r="Q7" s="160">
        <f t="shared" ref="Q7:Q9" si="6">I7*J7</f>
        <v>192000</v>
      </c>
      <c r="R7" s="98">
        <f>O7/O10</f>
        <v>0.2857142857142857</v>
      </c>
      <c r="S7" s="98"/>
      <c r="T7" s="98"/>
      <c r="U7" s="106"/>
      <c r="V7" s="140" t="str">
        <f>C7</f>
        <v>amenajari peisagistice  de complexitate medie</v>
      </c>
      <c r="W7" s="143">
        <f t="shared" ref="W7:W9" si="7">K7</f>
        <v>0</v>
      </c>
      <c r="X7" s="143">
        <f t="shared" si="0"/>
        <v>24000</v>
      </c>
      <c r="Y7" s="143">
        <f t="shared" si="0"/>
        <v>24000</v>
      </c>
      <c r="Z7" s="143">
        <f t="shared" si="0"/>
        <v>12000</v>
      </c>
      <c r="AA7" s="143">
        <f t="shared" si="0"/>
        <v>60000</v>
      </c>
      <c r="AB7" s="143">
        <f t="shared" si="0"/>
        <v>144000</v>
      </c>
      <c r="AC7" s="147"/>
      <c r="AD7" s="147"/>
    </row>
    <row r="8" spans="2:31" ht="33.6" customHeight="1" x14ac:dyDescent="0.3">
      <c r="B8" s="256">
        <v>3</v>
      </c>
      <c r="C8" s="207" t="s">
        <v>265</v>
      </c>
      <c r="D8" s="257"/>
      <c r="E8" s="257">
        <f>400*1</f>
        <v>400</v>
      </c>
      <c r="F8" s="257">
        <f>400*2</f>
        <v>800</v>
      </c>
      <c r="G8" s="257">
        <v>400</v>
      </c>
      <c r="H8" s="113">
        <f t="shared" ref="H8" si="8">E8*4</f>
        <v>1600</v>
      </c>
      <c r="I8" s="209">
        <f>G8*4</f>
        <v>1600</v>
      </c>
      <c r="J8" s="205">
        <v>50</v>
      </c>
      <c r="K8" s="157"/>
      <c r="L8" s="158">
        <f t="shared" si="1"/>
        <v>20000</v>
      </c>
      <c r="M8" s="158">
        <f t="shared" si="2"/>
        <v>40000</v>
      </c>
      <c r="N8" s="158">
        <f t="shared" si="3"/>
        <v>20000</v>
      </c>
      <c r="O8" s="159">
        <f t="shared" si="4"/>
        <v>80000</v>
      </c>
      <c r="P8" s="160">
        <f t="shared" si="5"/>
        <v>80000</v>
      </c>
      <c r="Q8" s="160">
        <f t="shared" si="6"/>
        <v>80000</v>
      </c>
      <c r="R8" s="98"/>
      <c r="S8" s="98"/>
      <c r="T8" s="98"/>
      <c r="U8" s="106"/>
      <c r="V8" s="140" t="str">
        <f>C8</f>
        <v>amenajari peisagistice  de complexitate mare</v>
      </c>
      <c r="W8" s="143">
        <f t="shared" si="7"/>
        <v>0</v>
      </c>
      <c r="X8" s="143">
        <f t="shared" si="0"/>
        <v>20000</v>
      </c>
      <c r="Y8" s="143">
        <f t="shared" si="0"/>
        <v>40000</v>
      </c>
      <c r="Z8" s="143">
        <f t="shared" si="0"/>
        <v>20000</v>
      </c>
      <c r="AA8" s="143">
        <f t="shared" si="0"/>
        <v>80000</v>
      </c>
      <c r="AB8" s="143">
        <f t="shared" si="0"/>
        <v>80000</v>
      </c>
      <c r="AC8" s="147"/>
      <c r="AD8" s="147"/>
    </row>
    <row r="9" spans="2:31" ht="33" customHeight="1" thickBot="1" x14ac:dyDescent="0.35">
      <c r="B9" s="110">
        <v>4</v>
      </c>
      <c r="C9" s="210" t="s">
        <v>261</v>
      </c>
      <c r="D9" s="114"/>
      <c r="E9" s="114">
        <v>10</v>
      </c>
      <c r="F9" s="114">
        <v>20</v>
      </c>
      <c r="G9" s="114">
        <v>30</v>
      </c>
      <c r="H9" s="113">
        <v>60</v>
      </c>
      <c r="I9" s="209">
        <v>80</v>
      </c>
      <c r="J9" s="205">
        <v>500</v>
      </c>
      <c r="K9" s="157">
        <f>D9*$J$9</f>
        <v>0</v>
      </c>
      <c r="L9" s="158">
        <f t="shared" si="1"/>
        <v>5000</v>
      </c>
      <c r="M9" s="158">
        <f t="shared" si="2"/>
        <v>10000</v>
      </c>
      <c r="N9" s="158">
        <f t="shared" si="3"/>
        <v>15000</v>
      </c>
      <c r="O9" s="159">
        <f t="shared" si="4"/>
        <v>30000</v>
      </c>
      <c r="P9" s="160">
        <f t="shared" si="5"/>
        <v>30000</v>
      </c>
      <c r="Q9" s="160">
        <f t="shared" si="6"/>
        <v>40000</v>
      </c>
      <c r="R9" s="98">
        <f>O9/O10</f>
        <v>0.14285714285714285</v>
      </c>
      <c r="S9" s="98"/>
      <c r="T9" s="98"/>
      <c r="U9" s="106"/>
      <c r="V9" s="140" t="str">
        <f>C9</f>
        <v>intretinere gradini si amenajari peisagistice</v>
      </c>
      <c r="W9" s="143">
        <f t="shared" si="7"/>
        <v>0</v>
      </c>
      <c r="X9" s="143">
        <f t="shared" si="0"/>
        <v>5000</v>
      </c>
      <c r="Y9" s="143">
        <f t="shared" si="0"/>
        <v>10000</v>
      </c>
      <c r="Z9" s="143">
        <f t="shared" si="0"/>
        <v>15000</v>
      </c>
      <c r="AA9" s="143">
        <f t="shared" si="0"/>
        <v>30000</v>
      </c>
      <c r="AB9" s="143">
        <f t="shared" si="0"/>
        <v>30000</v>
      </c>
      <c r="AC9" s="147"/>
      <c r="AD9" s="147"/>
    </row>
    <row r="10" spans="2:31" ht="16.5" x14ac:dyDescent="0.3">
      <c r="B10" s="420" t="s">
        <v>130</v>
      </c>
      <c r="C10" s="421"/>
      <c r="D10" s="421"/>
      <c r="E10" s="421"/>
      <c r="F10" s="421"/>
      <c r="G10" s="421"/>
      <c r="H10" s="421"/>
      <c r="I10" s="422"/>
      <c r="J10" s="155" t="s">
        <v>131</v>
      </c>
      <c r="K10" s="161">
        <f t="shared" ref="K10:Q10" si="9">SUM(K6:K9)</f>
        <v>0</v>
      </c>
      <c r="L10" s="161">
        <f t="shared" si="9"/>
        <v>61000</v>
      </c>
      <c r="M10" s="161">
        <f t="shared" si="9"/>
        <v>90000</v>
      </c>
      <c r="N10" s="161">
        <f t="shared" si="9"/>
        <v>59000</v>
      </c>
      <c r="O10" s="156">
        <f t="shared" si="9"/>
        <v>210000</v>
      </c>
      <c r="P10" s="156">
        <f t="shared" si="9"/>
        <v>302000</v>
      </c>
      <c r="Q10" s="156">
        <f t="shared" si="9"/>
        <v>376000</v>
      </c>
      <c r="R10" s="150"/>
      <c r="S10" s="98"/>
      <c r="T10" s="98"/>
      <c r="U10" s="106"/>
      <c r="V10" s="106"/>
      <c r="W10" s="143"/>
      <c r="X10" s="163"/>
      <c r="Y10" s="143"/>
      <c r="Z10" s="163"/>
      <c r="AA10" s="143"/>
      <c r="AB10" s="140"/>
      <c r="AC10" s="15"/>
      <c r="AD10" s="98"/>
    </row>
    <row r="11" spans="2:31" ht="30.6" customHeight="1" thickBot="1" x14ac:dyDescent="0.35">
      <c r="B11" s="417" t="s">
        <v>141</v>
      </c>
      <c r="C11" s="418"/>
      <c r="D11" s="418"/>
      <c r="E11" s="418"/>
      <c r="F11" s="418"/>
      <c r="G11" s="418"/>
      <c r="H11" s="418"/>
      <c r="I11" s="419"/>
      <c r="J11" s="155">
        <v>4.4584999999999999</v>
      </c>
      <c r="K11" s="162">
        <f t="shared" ref="K11:Q11" si="10">K10/$J$11</f>
        <v>0</v>
      </c>
      <c r="L11" s="162">
        <f t="shared" si="10"/>
        <v>13681.731524055176</v>
      </c>
      <c r="M11" s="162">
        <f t="shared" si="10"/>
        <v>20186.161264999439</v>
      </c>
      <c r="N11" s="162">
        <f t="shared" si="10"/>
        <v>13233.150162610744</v>
      </c>
      <c r="O11" s="162">
        <f t="shared" si="10"/>
        <v>47101.04295166536</v>
      </c>
      <c r="P11" s="162">
        <f t="shared" si="10"/>
        <v>67735.785578109237</v>
      </c>
      <c r="Q11" s="162">
        <f t="shared" si="10"/>
        <v>84333.295951553213</v>
      </c>
      <c r="R11" s="150">
        <f>P11+Q11+Q11+Q11</f>
        <v>320735.6734327689</v>
      </c>
      <c r="S11" s="98"/>
      <c r="T11" s="98"/>
      <c r="U11" s="424"/>
      <c r="V11" s="424"/>
      <c r="W11" s="143"/>
      <c r="X11" s="163"/>
      <c r="Y11" s="143"/>
      <c r="Z11" s="163"/>
      <c r="AA11" s="143"/>
      <c r="AB11" s="144"/>
      <c r="AC11" s="15"/>
      <c r="AD11" s="145"/>
    </row>
    <row r="12" spans="2:31" ht="16.5" x14ac:dyDescent="0.3">
      <c r="O12" s="15"/>
    </row>
    <row r="13" spans="2:31" ht="16.5" x14ac:dyDescent="0.25">
      <c r="B13" s="423"/>
      <c r="C13" s="423"/>
      <c r="D13" s="166"/>
      <c r="E13" s="167"/>
      <c r="F13" s="167"/>
      <c r="G13" s="167"/>
      <c r="H13" s="167"/>
      <c r="I13" s="167"/>
      <c r="J13" s="167"/>
      <c r="K13" s="167"/>
      <c r="L13" s="167"/>
      <c r="M13" s="167"/>
      <c r="N13" s="167"/>
      <c r="O13" s="212">
        <f>O6/$O$10</f>
        <v>0.19047619047619047</v>
      </c>
      <c r="P13" s="167"/>
      <c r="Q13" s="167"/>
    </row>
    <row r="14" spans="2:31" ht="16.5" x14ac:dyDescent="0.3">
      <c r="B14" s="416"/>
      <c r="C14" s="416"/>
      <c r="D14" s="424"/>
      <c r="E14" s="424"/>
      <c r="F14" s="424"/>
      <c r="G14" s="424"/>
      <c r="H14" s="424"/>
      <c r="I14" s="424"/>
      <c r="J14" s="424"/>
      <c r="K14" s="140"/>
      <c r="L14" s="140"/>
      <c r="M14" s="140"/>
      <c r="N14" s="424"/>
      <c r="O14" s="212">
        <f>O7/$O$10</f>
        <v>0.2857142857142857</v>
      </c>
      <c r="P14" s="211"/>
      <c r="Q14" s="211"/>
      <c r="T14" s="104"/>
      <c r="V14" s="105"/>
      <c r="W14" s="164"/>
      <c r="X14" s="164"/>
      <c r="Y14" s="149"/>
      <c r="Z14" s="149"/>
      <c r="AC14" s="7"/>
      <c r="AD14" s="7"/>
    </row>
    <row r="15" spans="2:31" ht="16.5" x14ac:dyDescent="0.3">
      <c r="B15" s="416"/>
      <c r="C15" s="416"/>
      <c r="D15" s="140"/>
      <c r="E15" s="153"/>
      <c r="F15" s="153"/>
      <c r="G15" s="153"/>
      <c r="H15" s="153"/>
      <c r="I15" s="153"/>
      <c r="J15" s="424"/>
      <c r="K15" s="140"/>
      <c r="L15" s="140"/>
      <c r="M15" s="140"/>
      <c r="N15" s="424"/>
      <c r="O15" s="212">
        <f>O9/$O$10</f>
        <v>0.14285714285714285</v>
      </c>
      <c r="P15" s="65"/>
      <c r="Q15" s="65"/>
      <c r="T15" s="106"/>
      <c r="V15" s="106"/>
      <c r="W15" s="147"/>
      <c r="X15" s="147"/>
      <c r="Y15" s="15"/>
      <c r="Z15" s="15"/>
      <c r="AB15" s="7"/>
      <c r="AC15" s="98"/>
      <c r="AD15" s="98"/>
    </row>
    <row r="16" spans="2:31" ht="16.5" x14ac:dyDescent="0.3">
      <c r="B16" s="7"/>
      <c r="C16" s="168"/>
      <c r="D16" s="143"/>
      <c r="E16" s="143"/>
      <c r="F16" s="143"/>
      <c r="G16" s="143"/>
      <c r="H16" s="143"/>
      <c r="I16" s="143"/>
      <c r="J16" s="140"/>
      <c r="K16" s="140"/>
      <c r="L16" s="140"/>
      <c r="M16" s="140"/>
      <c r="N16" s="143"/>
      <c r="O16" s="167">
        <f>O10/$O$10</f>
        <v>1</v>
      </c>
      <c r="P16" s="147"/>
      <c r="Q16" s="147"/>
      <c r="T16" s="106"/>
      <c r="V16" s="106"/>
      <c r="W16" s="147"/>
      <c r="X16" s="147"/>
      <c r="Y16" s="15"/>
      <c r="Z16" s="15"/>
      <c r="AB16" s="7"/>
      <c r="AC16" s="98"/>
      <c r="AD16" s="98"/>
    </row>
    <row r="17" spans="2:30" ht="16.5" x14ac:dyDescent="0.3">
      <c r="B17" s="7"/>
      <c r="C17" s="168"/>
      <c r="D17" s="143"/>
      <c r="E17" s="143"/>
      <c r="F17" s="143"/>
      <c r="G17" s="143"/>
      <c r="H17" s="143"/>
      <c r="I17" s="143"/>
      <c r="J17" s="140"/>
      <c r="K17" s="140"/>
      <c r="L17" s="140"/>
      <c r="M17" s="140"/>
      <c r="N17" s="143"/>
      <c r="O17" s="167"/>
      <c r="P17" s="147"/>
      <c r="Q17" s="147"/>
      <c r="T17" s="106"/>
      <c r="V17" s="106"/>
      <c r="W17" s="165"/>
      <c r="X17" s="165"/>
      <c r="Y17" s="108"/>
      <c r="Z17" s="108"/>
      <c r="AB17" s="7"/>
      <c r="AC17" s="98"/>
      <c r="AD17" s="98"/>
    </row>
    <row r="18" spans="2:30" ht="16.5" x14ac:dyDescent="0.3">
      <c r="B18" s="7"/>
      <c r="C18" s="169"/>
      <c r="D18" s="170"/>
      <c r="E18" s="170"/>
      <c r="F18" s="170"/>
      <c r="G18" s="170"/>
      <c r="H18" s="170"/>
      <c r="I18" s="170"/>
      <c r="J18" s="108"/>
      <c r="K18" s="108"/>
      <c r="L18" s="108"/>
      <c r="M18" s="108"/>
      <c r="N18" s="108"/>
      <c r="O18" s="108"/>
      <c r="P18" s="108"/>
      <c r="Q18" s="108"/>
      <c r="T18" s="106"/>
      <c r="U18" s="107"/>
      <c r="V18" s="7"/>
      <c r="W18" s="147"/>
      <c r="X18" s="147"/>
      <c r="Y18" s="15"/>
      <c r="Z18" s="15"/>
    </row>
    <row r="19" spans="2:30" ht="16.5" x14ac:dyDescent="0.3">
      <c r="B19" s="7"/>
      <c r="C19" s="171"/>
      <c r="D19" s="170"/>
      <c r="E19" s="170"/>
      <c r="F19" s="170"/>
      <c r="G19" s="170"/>
      <c r="H19" s="170"/>
      <c r="I19" s="170"/>
      <c r="J19" s="108"/>
      <c r="K19" s="108"/>
      <c r="L19" s="108"/>
      <c r="M19" s="108"/>
      <c r="N19" s="108"/>
      <c r="O19" s="108"/>
      <c r="P19" s="108"/>
      <c r="Q19" s="108"/>
      <c r="T19" s="106"/>
      <c r="U19" s="107"/>
      <c r="V19" s="7"/>
      <c r="W19" s="7"/>
      <c r="X19" s="7"/>
    </row>
    <row r="20" spans="2:30" ht="16.5" x14ac:dyDescent="0.3">
      <c r="B20" s="7"/>
      <c r="C20" s="172"/>
      <c r="D20" s="170"/>
      <c r="E20" s="170"/>
      <c r="F20" s="170"/>
      <c r="G20" s="170"/>
      <c r="H20" s="170"/>
      <c r="I20" s="170"/>
      <c r="J20" s="108"/>
      <c r="K20" s="108"/>
      <c r="L20" s="108"/>
      <c r="M20" s="108"/>
      <c r="N20" s="108"/>
      <c r="O20" s="108"/>
      <c r="P20" s="108"/>
      <c r="Q20" s="108"/>
      <c r="T20" s="106"/>
      <c r="U20" s="107"/>
      <c r="V20" s="7"/>
      <c r="W20" s="7"/>
      <c r="X20" s="7"/>
    </row>
    <row r="21" spans="2:30" ht="16.5" x14ac:dyDescent="0.3">
      <c r="B21" s="7"/>
      <c r="C21" s="172"/>
      <c r="D21" s="170"/>
      <c r="E21" s="170"/>
      <c r="F21" s="170"/>
      <c r="G21" s="170"/>
      <c r="H21" s="170"/>
      <c r="I21" s="170"/>
      <c r="J21" s="108"/>
      <c r="K21" s="108"/>
      <c r="L21" s="108"/>
      <c r="M21" s="108"/>
      <c r="N21" s="7"/>
      <c r="O21" s="108"/>
      <c r="P21" s="108"/>
      <c r="Q21" s="108"/>
      <c r="T21" s="106"/>
      <c r="U21" s="107"/>
      <c r="V21" s="7"/>
      <c r="W21" s="7"/>
      <c r="X21" s="7"/>
    </row>
    <row r="22" spans="2:30" ht="16.5" x14ac:dyDescent="0.3">
      <c r="B22" s="7"/>
      <c r="C22" s="173"/>
      <c r="D22" s="174"/>
      <c r="E22" s="174"/>
      <c r="F22" s="174"/>
      <c r="G22" s="174"/>
      <c r="H22" s="174"/>
      <c r="I22" s="172"/>
      <c r="J22" s="108"/>
      <c r="K22" s="108"/>
      <c r="L22" s="108"/>
      <c r="M22" s="108"/>
      <c r="N22" s="175"/>
      <c r="O22" s="175"/>
      <c r="P22" s="175"/>
      <c r="Q22" s="175"/>
      <c r="T22" s="105"/>
      <c r="U22" s="105"/>
      <c r="V22" s="7"/>
      <c r="W22" s="7"/>
      <c r="X22" s="7"/>
    </row>
    <row r="23" spans="2:30" ht="16.5" x14ac:dyDescent="0.3">
      <c r="B23" s="425"/>
      <c r="C23" s="425"/>
      <c r="D23" s="176"/>
      <c r="E23" s="176"/>
      <c r="F23" s="176"/>
      <c r="G23" s="176"/>
      <c r="H23" s="176"/>
      <c r="I23" s="176"/>
      <c r="J23" s="176"/>
      <c r="K23" s="176"/>
      <c r="L23" s="176"/>
      <c r="M23" s="176"/>
      <c r="N23" s="176"/>
      <c r="O23" s="176"/>
      <c r="P23" s="176"/>
      <c r="Q23" s="176"/>
      <c r="T23" s="106"/>
      <c r="U23" s="106"/>
      <c r="V23" s="7"/>
      <c r="W23" s="7"/>
      <c r="X23" s="7"/>
    </row>
    <row r="24" spans="2:30" ht="16.5" x14ac:dyDescent="0.3">
      <c r="B24" s="7"/>
      <c r="C24" s="172"/>
      <c r="D24" s="177"/>
      <c r="E24" s="177"/>
      <c r="F24" s="177"/>
      <c r="G24" s="177"/>
      <c r="H24" s="177"/>
      <c r="I24" s="177"/>
      <c r="J24" s="108"/>
      <c r="K24" s="108"/>
      <c r="L24" s="108"/>
      <c r="M24" s="108"/>
      <c r="N24" s="108"/>
      <c r="O24" s="108"/>
      <c r="P24" s="108"/>
      <c r="Q24" s="108"/>
      <c r="T24" s="106"/>
      <c r="U24" s="106"/>
      <c r="V24" s="7"/>
      <c r="W24" s="65"/>
      <c r="X24" s="65"/>
      <c r="Y24" s="65"/>
      <c r="Z24" s="65"/>
    </row>
    <row r="25" spans="2:30" ht="16.5" x14ac:dyDescent="0.3">
      <c r="B25" s="7"/>
      <c r="C25" s="172"/>
      <c r="D25" s="172"/>
      <c r="E25" s="172"/>
      <c r="F25" s="172"/>
      <c r="G25" s="172"/>
      <c r="H25" s="172"/>
      <c r="I25" s="172"/>
      <c r="J25" s="108"/>
      <c r="K25" s="108"/>
      <c r="L25" s="108"/>
      <c r="M25" s="108"/>
      <c r="N25" s="108"/>
      <c r="O25" s="108"/>
      <c r="P25" s="108"/>
      <c r="Q25" s="108"/>
      <c r="T25" s="106"/>
      <c r="U25" s="106"/>
      <c r="V25" s="106"/>
      <c r="W25" s="15"/>
      <c r="X25" s="15"/>
      <c r="Y25" s="15"/>
      <c r="Z25" s="15"/>
      <c r="AA25" s="15"/>
      <c r="AB25" s="15"/>
      <c r="AC25" s="15"/>
    </row>
    <row r="26" spans="2:30" ht="16.5" x14ac:dyDescent="0.3">
      <c r="B26" s="7"/>
      <c r="C26" s="172"/>
      <c r="D26" s="172"/>
      <c r="E26" s="172"/>
      <c r="F26" s="172"/>
      <c r="G26" s="172"/>
      <c r="H26" s="172"/>
      <c r="I26" s="172"/>
      <c r="J26" s="108"/>
      <c r="K26" s="108"/>
      <c r="L26" s="108"/>
      <c r="M26" s="108"/>
      <c r="N26" s="108"/>
      <c r="O26" s="108"/>
      <c r="P26" s="108"/>
      <c r="Q26" s="108"/>
      <c r="R26" s="9">
        <v>0</v>
      </c>
      <c r="T26" s="106"/>
      <c r="U26" s="106"/>
      <c r="V26" s="106"/>
      <c r="W26" s="15"/>
      <c r="X26" s="15"/>
      <c r="Y26" s="15"/>
      <c r="Z26" s="15"/>
      <c r="AA26" s="15"/>
      <c r="AB26" s="15"/>
      <c r="AC26" s="15"/>
    </row>
    <row r="27" spans="2:30" ht="16.5" x14ac:dyDescent="0.3">
      <c r="B27" s="7"/>
      <c r="C27" s="178"/>
      <c r="D27" s="172"/>
      <c r="E27" s="172"/>
      <c r="F27" s="172"/>
      <c r="G27" s="172"/>
      <c r="H27" s="172"/>
      <c r="I27" s="172"/>
      <c r="J27" s="108"/>
      <c r="K27" s="108"/>
      <c r="L27" s="108"/>
      <c r="M27" s="108"/>
      <c r="N27" s="108"/>
      <c r="O27" s="108"/>
      <c r="P27" s="108"/>
      <c r="Q27" s="108"/>
      <c r="T27" s="106"/>
      <c r="U27" s="106"/>
      <c r="V27" s="98"/>
      <c r="W27" s="98"/>
      <c r="X27" s="98"/>
      <c r="Y27" s="98"/>
      <c r="Z27" s="98"/>
      <c r="AA27" s="98"/>
      <c r="AB27" s="98"/>
      <c r="AC27" s="98"/>
    </row>
    <row r="28" spans="2:30" ht="16.5" x14ac:dyDescent="0.3">
      <c r="B28" s="7"/>
      <c r="C28" s="171"/>
      <c r="D28" s="172"/>
      <c r="E28" s="172"/>
      <c r="F28" s="172"/>
      <c r="G28" s="172"/>
      <c r="H28" s="172"/>
      <c r="I28" s="172"/>
      <c r="J28" s="108"/>
      <c r="K28" s="108"/>
      <c r="L28" s="108"/>
      <c r="M28" s="108"/>
      <c r="N28" s="108"/>
      <c r="O28" s="108"/>
      <c r="P28" s="108"/>
      <c r="Q28" s="108"/>
      <c r="T28" s="104"/>
      <c r="U28" s="106"/>
      <c r="V28" s="7"/>
      <c r="W28" s="7"/>
      <c r="X28" s="7"/>
    </row>
    <row r="29" spans="2:30" ht="16.5" x14ac:dyDescent="0.3">
      <c r="B29" s="7"/>
      <c r="C29" s="106"/>
      <c r="D29" s="172"/>
      <c r="E29" s="172"/>
      <c r="F29" s="172"/>
      <c r="G29" s="172"/>
      <c r="H29" s="172"/>
      <c r="I29" s="172"/>
      <c r="J29" s="108"/>
      <c r="K29" s="108"/>
      <c r="L29" s="108"/>
      <c r="M29" s="108"/>
      <c r="N29" s="108"/>
      <c r="O29" s="108"/>
      <c r="P29" s="108"/>
      <c r="Q29" s="108"/>
      <c r="T29" s="104"/>
      <c r="U29" s="106"/>
      <c r="V29" s="7"/>
      <c r="W29" s="7"/>
      <c r="X29" s="7"/>
    </row>
    <row r="30" spans="2:30" ht="16.5" x14ac:dyDescent="0.3">
      <c r="B30" s="7"/>
      <c r="C30" s="106"/>
      <c r="D30" s="172"/>
      <c r="E30" s="172"/>
      <c r="F30" s="172"/>
      <c r="G30" s="172"/>
      <c r="H30" s="172"/>
      <c r="I30" s="172"/>
      <c r="J30" s="108"/>
      <c r="K30" s="108"/>
      <c r="L30" s="108"/>
      <c r="M30" s="108"/>
      <c r="N30" s="108"/>
      <c r="O30" s="108"/>
      <c r="P30" s="108"/>
      <c r="Q30" s="108"/>
      <c r="T30" s="104"/>
      <c r="U30" s="106"/>
      <c r="V30" s="7"/>
      <c r="W30" s="7"/>
      <c r="X30" s="7"/>
    </row>
    <row r="31" spans="2:30" ht="16.5" x14ac:dyDescent="0.3">
      <c r="B31" s="7"/>
      <c r="C31" s="172"/>
      <c r="D31" s="172"/>
      <c r="E31" s="172"/>
      <c r="F31" s="172"/>
      <c r="G31" s="172"/>
      <c r="H31" s="172"/>
      <c r="I31" s="172"/>
      <c r="J31" s="108"/>
      <c r="K31" s="108"/>
      <c r="L31" s="108"/>
      <c r="M31" s="108"/>
      <c r="N31" s="108"/>
      <c r="O31" s="108"/>
      <c r="P31" s="108"/>
      <c r="Q31" s="108"/>
      <c r="T31" s="104"/>
      <c r="U31" s="106"/>
      <c r="V31" s="7"/>
      <c r="W31" s="7"/>
      <c r="X31" s="7"/>
    </row>
    <row r="32" spans="2:30" ht="16.5" x14ac:dyDescent="0.3">
      <c r="B32" s="7"/>
      <c r="C32" s="173"/>
      <c r="D32" s="174"/>
      <c r="E32" s="174"/>
      <c r="F32" s="174"/>
      <c r="G32" s="174"/>
      <c r="H32" s="174"/>
      <c r="I32" s="172"/>
      <c r="J32" s="108"/>
      <c r="K32" s="108"/>
      <c r="L32" s="108"/>
      <c r="M32" s="108"/>
      <c r="N32" s="112"/>
      <c r="O32" s="112"/>
      <c r="P32" s="112"/>
      <c r="Q32" s="112"/>
      <c r="T32" s="105"/>
      <c r="U32" s="106"/>
      <c r="V32" s="7"/>
      <c r="W32" s="7"/>
      <c r="X32" s="7"/>
    </row>
    <row r="33" spans="2:18" ht="16.5" x14ac:dyDescent="0.3">
      <c r="B33" s="409"/>
      <c r="C33" s="409"/>
      <c r="D33" s="409"/>
      <c r="E33" s="409"/>
      <c r="F33" s="409"/>
      <c r="G33" s="409"/>
      <c r="H33" s="409"/>
      <c r="I33" s="409"/>
      <c r="J33" s="409"/>
      <c r="K33" s="111"/>
      <c r="L33" s="111"/>
      <c r="M33" s="111"/>
      <c r="N33" s="112"/>
      <c r="O33" s="112"/>
      <c r="P33" s="112"/>
      <c r="Q33" s="112"/>
      <c r="R33" s="99">
        <v>0</v>
      </c>
    </row>
    <row r="34" spans="2:18" ht="16.5" x14ac:dyDescent="0.3">
      <c r="B34" s="111"/>
      <c r="C34" s="111"/>
      <c r="D34" s="111"/>
      <c r="E34" s="111"/>
      <c r="F34" s="111"/>
      <c r="G34" s="111"/>
      <c r="H34" s="111"/>
      <c r="I34" s="111"/>
      <c r="J34" s="111"/>
      <c r="K34" s="111"/>
      <c r="L34" s="111"/>
      <c r="M34" s="111"/>
      <c r="N34" s="112"/>
      <c r="O34" s="112"/>
      <c r="P34" s="112"/>
      <c r="Q34" s="112"/>
      <c r="R34" s="112"/>
    </row>
    <row r="35" spans="2:18" ht="16.5" x14ac:dyDescent="0.3">
      <c r="B35" s="111"/>
      <c r="C35" s="111"/>
      <c r="D35" s="111"/>
      <c r="E35" s="111"/>
      <c r="F35" s="111"/>
      <c r="G35" s="111"/>
      <c r="H35" s="111"/>
      <c r="I35" s="111"/>
      <c r="J35" s="111"/>
      <c r="K35" s="111"/>
      <c r="L35" s="111"/>
      <c r="M35" s="111"/>
      <c r="N35" s="112"/>
      <c r="O35" s="112"/>
      <c r="P35" s="112"/>
      <c r="Q35" s="112"/>
      <c r="R35" s="112"/>
    </row>
    <row r="36" spans="2:18" ht="16.5" x14ac:dyDescent="0.3">
      <c r="B36" s="425"/>
      <c r="C36" s="425"/>
      <c r="D36" s="425"/>
      <c r="E36" s="425"/>
      <c r="F36" s="425"/>
      <c r="G36" s="425"/>
      <c r="H36" s="425"/>
      <c r="I36" s="425"/>
      <c r="J36" s="425"/>
      <c r="K36" s="425"/>
      <c r="L36" s="425"/>
      <c r="M36" s="425"/>
      <c r="N36" s="425"/>
      <c r="O36" s="112"/>
      <c r="P36" s="112"/>
      <c r="Q36" s="112"/>
      <c r="R36" s="112"/>
    </row>
    <row r="37" spans="2:18" ht="16.5" x14ac:dyDescent="0.3">
      <c r="B37" s="425"/>
      <c r="C37" s="425"/>
      <c r="D37" s="425"/>
      <c r="E37" s="169"/>
      <c r="F37" s="179"/>
      <c r="G37" s="153"/>
      <c r="H37" s="153"/>
      <c r="I37" s="153"/>
      <c r="J37" s="153"/>
      <c r="K37" s="153"/>
      <c r="L37" s="153"/>
      <c r="M37" s="153"/>
      <c r="N37" s="153"/>
      <c r="O37" s="112"/>
      <c r="P37" s="112"/>
      <c r="Q37" s="112"/>
      <c r="R37" s="112"/>
    </row>
    <row r="38" spans="2:18" ht="16.5" x14ac:dyDescent="0.3">
      <c r="B38" s="111"/>
      <c r="C38" s="431"/>
      <c r="D38" s="431"/>
      <c r="E38" s="111"/>
      <c r="F38" s="180"/>
      <c r="G38" s="180"/>
      <c r="H38" s="180"/>
      <c r="I38" s="180"/>
      <c r="J38" s="180"/>
      <c r="K38" s="180"/>
      <c r="L38" s="180"/>
      <c r="M38" s="180"/>
      <c r="N38" s="180"/>
      <c r="O38" s="112"/>
      <c r="P38" s="112"/>
      <c r="Q38" s="112"/>
      <c r="R38" s="112"/>
    </row>
    <row r="39" spans="2:18" ht="16.5" x14ac:dyDescent="0.3">
      <c r="B39" s="111"/>
      <c r="C39" s="431"/>
      <c r="D39" s="431"/>
      <c r="E39" s="111"/>
      <c r="F39" s="111"/>
      <c r="G39" s="111"/>
      <c r="H39" s="111"/>
      <c r="I39" s="111"/>
      <c r="J39" s="111"/>
      <c r="K39" s="111"/>
      <c r="L39" s="111"/>
      <c r="M39" s="111"/>
      <c r="N39" s="111"/>
      <c r="O39" s="112"/>
      <c r="P39" s="112"/>
      <c r="Q39" s="112"/>
      <c r="R39" s="112"/>
    </row>
    <row r="40" spans="2:18" ht="16.5" x14ac:dyDescent="0.3">
      <c r="B40" s="111"/>
      <c r="C40" s="431"/>
      <c r="D40" s="431"/>
      <c r="E40" s="111"/>
      <c r="F40" s="111"/>
      <c r="G40" s="111"/>
      <c r="H40" s="111"/>
      <c r="I40" s="111"/>
      <c r="J40" s="111"/>
      <c r="K40" s="111"/>
      <c r="L40" s="111"/>
      <c r="M40" s="111"/>
      <c r="N40" s="111"/>
      <c r="O40" s="112"/>
      <c r="P40" s="112"/>
      <c r="Q40" s="112"/>
      <c r="R40" s="112"/>
    </row>
    <row r="41" spans="2:18" ht="16.5" x14ac:dyDescent="0.3">
      <c r="B41" s="111"/>
      <c r="C41" s="431"/>
      <c r="D41" s="431"/>
      <c r="E41" s="111"/>
      <c r="F41" s="111"/>
      <c r="G41" s="111"/>
      <c r="H41" s="111"/>
      <c r="I41" s="111"/>
      <c r="J41" s="111"/>
      <c r="K41" s="111"/>
      <c r="L41" s="111"/>
      <c r="M41" s="111"/>
      <c r="N41" s="111"/>
      <c r="O41" s="112"/>
      <c r="P41" s="112"/>
      <c r="Q41" s="112"/>
      <c r="R41" s="112"/>
    </row>
    <row r="42" spans="2:18" ht="16.5" x14ac:dyDescent="0.3">
      <c r="B42" s="111"/>
      <c r="C42" s="431"/>
      <c r="D42" s="431"/>
      <c r="E42" s="111"/>
      <c r="F42" s="111"/>
      <c r="G42" s="111"/>
      <c r="H42" s="111"/>
      <c r="I42" s="111"/>
      <c r="J42" s="111"/>
      <c r="K42" s="111"/>
      <c r="L42" s="111"/>
      <c r="M42" s="111"/>
      <c r="N42" s="111"/>
      <c r="O42" s="112"/>
      <c r="P42" s="112"/>
      <c r="Q42" s="112"/>
      <c r="R42" s="112"/>
    </row>
    <row r="43" spans="2:18" ht="16.5" x14ac:dyDescent="0.3">
      <c r="B43" s="425"/>
      <c r="C43" s="425"/>
      <c r="D43" s="425"/>
      <c r="E43" s="425"/>
      <c r="F43" s="111"/>
      <c r="G43" s="111"/>
      <c r="H43" s="111"/>
      <c r="I43" s="111"/>
      <c r="J43" s="111"/>
      <c r="K43" s="111"/>
      <c r="L43" s="111"/>
      <c r="M43" s="111"/>
      <c r="N43" s="111"/>
      <c r="O43" s="112"/>
      <c r="P43" s="112"/>
      <c r="Q43" s="112"/>
      <c r="R43" s="112"/>
    </row>
    <row r="44" spans="2:18" ht="16.5" x14ac:dyDescent="0.3">
      <c r="B44" s="425"/>
      <c r="C44" s="425"/>
      <c r="D44" s="425"/>
      <c r="E44" s="111"/>
      <c r="F44" s="111"/>
      <c r="G44" s="111"/>
      <c r="H44" s="111"/>
      <c r="I44" s="111"/>
      <c r="J44" s="111"/>
      <c r="K44" s="111"/>
      <c r="L44" s="111"/>
      <c r="M44" s="111"/>
      <c r="N44" s="111"/>
      <c r="O44" s="111"/>
      <c r="P44" s="112"/>
      <c r="Q44" s="112"/>
      <c r="R44" s="112"/>
    </row>
    <row r="45" spans="2:18" ht="16.5" x14ac:dyDescent="0.3">
      <c r="B45" s="111"/>
      <c r="C45" s="111"/>
      <c r="D45" s="111"/>
      <c r="E45" s="111"/>
      <c r="F45" s="111"/>
      <c r="G45" s="111"/>
      <c r="H45" s="111"/>
      <c r="I45" s="111"/>
      <c r="J45" s="111"/>
      <c r="K45" s="111"/>
      <c r="L45" s="111"/>
      <c r="M45" s="111"/>
      <c r="N45" s="112"/>
      <c r="O45" s="112"/>
      <c r="P45" s="112"/>
      <c r="Q45" s="112"/>
      <c r="R45" s="112"/>
    </row>
    <row r="46" spans="2:18" ht="16.5" x14ac:dyDescent="0.3">
      <c r="B46" s="111"/>
      <c r="C46" s="111"/>
      <c r="D46" s="111"/>
      <c r="E46" s="111"/>
      <c r="F46" s="111"/>
      <c r="G46" s="111"/>
      <c r="H46" s="111"/>
      <c r="I46" s="111"/>
      <c r="J46" s="111"/>
      <c r="K46" s="111"/>
      <c r="L46" s="111"/>
      <c r="M46" s="111"/>
      <c r="N46" s="112"/>
      <c r="O46" s="112"/>
      <c r="P46" s="112"/>
      <c r="Q46" s="112"/>
      <c r="R46" s="112"/>
    </row>
    <row r="47" spans="2:18" ht="16.5" x14ac:dyDescent="0.3">
      <c r="C47" s="111"/>
      <c r="D47" s="111"/>
      <c r="E47" s="111"/>
      <c r="F47" s="111"/>
      <c r="G47" s="111"/>
      <c r="H47" s="111"/>
      <c r="I47" s="111"/>
      <c r="J47" s="111"/>
      <c r="K47" s="111"/>
      <c r="L47" s="111"/>
      <c r="M47" s="111"/>
      <c r="N47" s="112"/>
      <c r="O47" s="112"/>
      <c r="P47" s="112"/>
      <c r="Q47" s="112"/>
    </row>
    <row r="48" spans="2:18" ht="16.5" x14ac:dyDescent="0.3">
      <c r="C48" s="409"/>
      <c r="D48" s="409"/>
      <c r="E48" s="409"/>
      <c r="F48" s="111"/>
      <c r="G48" s="111"/>
      <c r="H48" s="111"/>
      <c r="I48" s="111"/>
      <c r="J48" s="111"/>
      <c r="K48" s="111"/>
      <c r="L48" s="111"/>
      <c r="M48" s="111"/>
      <c r="N48" s="112"/>
      <c r="O48" s="112"/>
      <c r="P48" s="112"/>
      <c r="Q48" s="112"/>
    </row>
    <row r="49" spans="3:17" ht="16.5" x14ac:dyDescent="0.3">
      <c r="C49" s="141"/>
      <c r="D49" s="141"/>
      <c r="E49" s="141"/>
      <c r="F49" s="141"/>
      <c r="G49" s="141"/>
      <c r="H49" s="141"/>
      <c r="I49" s="141"/>
      <c r="J49" s="141"/>
      <c r="K49" s="141"/>
      <c r="L49" s="141"/>
      <c r="M49" s="141"/>
      <c r="N49" s="141"/>
      <c r="O49" s="141"/>
      <c r="P49" s="141"/>
      <c r="Q49" s="141"/>
    </row>
    <row r="50" spans="3:17" ht="16.5" x14ac:dyDescent="0.3">
      <c r="C50" s="111"/>
      <c r="D50" s="81"/>
      <c r="E50" s="81"/>
      <c r="F50" s="81"/>
      <c r="G50" s="81"/>
      <c r="H50" s="81"/>
      <c r="I50" s="81"/>
      <c r="J50" s="81"/>
      <c r="K50" s="81"/>
      <c r="L50" s="81"/>
      <c r="M50" s="81"/>
      <c r="N50" s="142"/>
      <c r="O50" s="142"/>
      <c r="P50" s="142"/>
      <c r="Q50" s="142"/>
    </row>
    <row r="51" spans="3:17" ht="16.5" x14ac:dyDescent="0.3">
      <c r="C51" s="111"/>
      <c r="D51" s="81"/>
      <c r="E51" s="81"/>
      <c r="F51" s="81"/>
      <c r="G51" s="81"/>
      <c r="H51" s="81"/>
      <c r="I51" s="81"/>
      <c r="J51" s="81"/>
      <c r="K51" s="81"/>
      <c r="L51" s="81"/>
      <c r="M51" s="81"/>
      <c r="N51" s="142"/>
      <c r="O51" s="142"/>
      <c r="P51" s="142"/>
      <c r="Q51" s="142"/>
    </row>
    <row r="52" spans="3:17" ht="16.5" x14ac:dyDescent="0.3">
      <c r="C52" s="111"/>
      <c r="D52" s="81"/>
      <c r="E52" s="81"/>
      <c r="F52" s="81"/>
      <c r="G52" s="81"/>
      <c r="H52" s="81"/>
      <c r="I52" s="81"/>
      <c r="J52" s="81"/>
      <c r="K52" s="81"/>
      <c r="L52" s="81"/>
      <c r="M52" s="81"/>
      <c r="N52" s="142"/>
      <c r="O52" s="142"/>
      <c r="P52" s="142"/>
      <c r="Q52" s="142"/>
    </row>
    <row r="53" spans="3:17" ht="16.5" x14ac:dyDescent="0.3">
      <c r="C53" s="111"/>
      <c r="D53" s="81"/>
      <c r="E53" s="81"/>
      <c r="F53" s="81"/>
      <c r="G53" s="81"/>
      <c r="H53" s="81"/>
      <c r="I53" s="81"/>
      <c r="J53" s="81"/>
      <c r="K53" s="81"/>
      <c r="L53" s="81"/>
      <c r="M53" s="81"/>
      <c r="N53" s="142"/>
      <c r="O53" s="142"/>
      <c r="P53" s="142"/>
      <c r="Q53" s="142"/>
    </row>
    <row r="54" spans="3:17" ht="16.5" x14ac:dyDescent="0.3">
      <c r="C54" s="111"/>
      <c r="D54" s="81"/>
      <c r="E54" s="81"/>
      <c r="F54" s="81"/>
      <c r="G54" s="81"/>
      <c r="H54" s="81"/>
      <c r="I54" s="81"/>
      <c r="J54" s="81"/>
      <c r="K54" s="81"/>
      <c r="L54" s="81"/>
      <c r="M54" s="81"/>
      <c r="N54" s="142"/>
      <c r="O54" s="142"/>
      <c r="P54" s="142"/>
      <c r="Q54" s="142"/>
    </row>
    <row r="55" spans="3:17" ht="16.5" x14ac:dyDescent="0.25">
      <c r="C55" s="111"/>
      <c r="D55" s="81"/>
      <c r="E55" s="81"/>
      <c r="F55" s="81"/>
      <c r="G55" s="81"/>
      <c r="H55" s="81"/>
      <c r="I55" s="81"/>
      <c r="J55" s="81"/>
      <c r="K55" s="81"/>
      <c r="L55" s="81"/>
      <c r="M55" s="81"/>
      <c r="N55" s="81"/>
      <c r="O55" s="81"/>
      <c r="P55" s="81"/>
      <c r="Q55" s="81"/>
    </row>
    <row r="56" spans="3:17" ht="16.5" x14ac:dyDescent="0.3">
      <c r="C56" s="409"/>
      <c r="D56" s="409"/>
      <c r="E56" s="409"/>
      <c r="F56" s="409"/>
      <c r="G56" s="409"/>
      <c r="H56" s="409"/>
      <c r="I56" s="409"/>
      <c r="J56" s="409"/>
      <c r="K56" s="409"/>
      <c r="L56" s="409"/>
      <c r="M56" s="409"/>
      <c r="N56" s="409"/>
      <c r="O56" s="409"/>
      <c r="P56" s="112"/>
      <c r="Q56" s="112"/>
    </row>
    <row r="58" spans="3:17" ht="16.5" x14ac:dyDescent="0.3">
      <c r="C58" s="414"/>
      <c r="D58" s="414"/>
      <c r="E58" s="137"/>
      <c r="F58" s="181"/>
      <c r="G58" s="181"/>
      <c r="H58" s="181"/>
      <c r="I58" s="181"/>
      <c r="J58" s="181"/>
      <c r="K58" s="181"/>
      <c r="L58" s="181"/>
      <c r="M58" s="181"/>
      <c r="N58" s="181"/>
      <c r="O58" s="181"/>
      <c r="P58" s="181"/>
    </row>
    <row r="59" spans="3:17" ht="16.5" x14ac:dyDescent="0.3">
      <c r="C59" s="2"/>
      <c r="D59" s="117"/>
      <c r="E59" s="116"/>
      <c r="F59" s="137"/>
      <c r="G59" s="137"/>
      <c r="H59" s="137"/>
      <c r="I59" s="137"/>
      <c r="J59" s="137"/>
      <c r="K59" s="137"/>
      <c r="L59" s="137"/>
      <c r="M59" s="137"/>
      <c r="N59" s="137"/>
      <c r="O59" s="137"/>
      <c r="P59" s="137"/>
    </row>
    <row r="60" spans="3:17" ht="16.5" x14ac:dyDescent="0.3">
      <c r="C60" s="2"/>
      <c r="D60" s="122"/>
      <c r="E60" s="116"/>
      <c r="F60" s="137"/>
      <c r="G60" s="137"/>
      <c r="H60" s="137"/>
      <c r="I60" s="137"/>
      <c r="J60" s="137"/>
      <c r="K60" s="137"/>
      <c r="L60" s="137"/>
      <c r="M60" s="137"/>
      <c r="N60" s="137"/>
      <c r="O60" s="137"/>
      <c r="P60" s="137"/>
    </row>
    <row r="61" spans="3:17" ht="16.5" x14ac:dyDescent="0.3">
      <c r="C61" s="2"/>
      <c r="D61" s="2"/>
      <c r="E61" s="116"/>
      <c r="F61" s="137"/>
      <c r="G61" s="137"/>
      <c r="H61" s="137"/>
      <c r="I61" s="182"/>
      <c r="J61" s="182"/>
      <c r="K61" s="182"/>
      <c r="L61" s="182"/>
      <c r="M61" s="182"/>
      <c r="N61" s="182"/>
      <c r="O61" s="182"/>
      <c r="P61" s="182"/>
    </row>
    <row r="62" spans="3:17" ht="16.5" x14ac:dyDescent="0.3">
      <c r="C62" s="2"/>
      <c r="D62" s="123"/>
      <c r="E62" s="116"/>
      <c r="F62" s="183"/>
      <c r="G62" s="183"/>
      <c r="H62" s="183"/>
      <c r="I62" s="182"/>
      <c r="J62" s="182"/>
      <c r="K62" s="182"/>
      <c r="L62" s="182"/>
      <c r="M62" s="182"/>
      <c r="N62" s="182"/>
      <c r="O62" s="182"/>
      <c r="P62" s="182"/>
    </row>
    <row r="63" spans="3:17" ht="16.5" x14ac:dyDescent="0.3">
      <c r="C63" s="2"/>
      <c r="D63" s="116"/>
      <c r="E63" s="125"/>
      <c r="F63" s="183"/>
      <c r="G63" s="183"/>
      <c r="H63" s="183"/>
      <c r="I63" s="182"/>
      <c r="J63" s="182"/>
      <c r="K63" s="182"/>
      <c r="L63" s="182"/>
      <c r="M63" s="182"/>
      <c r="N63" s="182"/>
      <c r="O63" s="182"/>
      <c r="P63" s="182"/>
    </row>
    <row r="64" spans="3:17" ht="16.5" x14ac:dyDescent="0.3">
      <c r="C64" s="121"/>
      <c r="D64" s="124"/>
      <c r="E64" s="116"/>
      <c r="F64" s="183"/>
      <c r="G64" s="183"/>
      <c r="H64" s="183"/>
      <c r="I64" s="182"/>
      <c r="J64" s="182"/>
      <c r="K64" s="182"/>
      <c r="L64" s="182"/>
      <c r="M64" s="182"/>
      <c r="N64" s="182"/>
      <c r="O64" s="182"/>
      <c r="P64" s="182"/>
    </row>
    <row r="65" spans="3:16" ht="16.5" x14ac:dyDescent="0.3">
      <c r="C65" s="115"/>
      <c r="D65" s="125"/>
      <c r="E65" s="125"/>
      <c r="F65" s="183"/>
      <c r="G65" s="183"/>
      <c r="H65" s="183"/>
      <c r="I65" s="182"/>
      <c r="J65" s="182"/>
      <c r="K65" s="182"/>
      <c r="L65" s="182"/>
      <c r="M65" s="182"/>
      <c r="N65" s="182"/>
      <c r="O65" s="182"/>
      <c r="P65" s="182"/>
    </row>
    <row r="66" spans="3:16" ht="16.5" x14ac:dyDescent="0.3">
      <c r="C66" s="115"/>
      <c r="D66" s="116"/>
      <c r="E66" s="116"/>
      <c r="F66" s="183"/>
      <c r="G66" s="183"/>
      <c r="H66" s="183"/>
      <c r="I66" s="182"/>
      <c r="J66" s="182"/>
      <c r="K66" s="182"/>
      <c r="L66" s="182"/>
      <c r="M66" s="182"/>
      <c r="N66" s="182"/>
      <c r="O66" s="182"/>
      <c r="P66" s="182"/>
    </row>
    <row r="67" spans="3:16" ht="16.5" x14ac:dyDescent="0.3">
      <c r="C67" s="184"/>
      <c r="D67" s="184"/>
      <c r="E67" s="116"/>
      <c r="F67" s="183"/>
      <c r="G67" s="183"/>
      <c r="H67" s="183"/>
      <c r="I67" s="182"/>
      <c r="J67" s="182"/>
      <c r="K67" s="182"/>
      <c r="L67" s="182"/>
      <c r="M67" s="182"/>
      <c r="N67" s="182"/>
      <c r="O67" s="182"/>
      <c r="P67" s="182"/>
    </row>
    <row r="68" spans="3:16" ht="16.5" x14ac:dyDescent="0.3">
      <c r="C68" s="120"/>
      <c r="D68" s="117"/>
      <c r="E68" s="116"/>
      <c r="F68" s="183"/>
      <c r="G68" s="183"/>
      <c r="H68" s="183"/>
      <c r="I68" s="182"/>
      <c r="J68" s="182"/>
      <c r="K68" s="182"/>
      <c r="L68" s="182"/>
      <c r="M68" s="182"/>
      <c r="N68" s="182"/>
      <c r="O68" s="182"/>
      <c r="P68" s="182"/>
    </row>
    <row r="69" spans="3:16" ht="16.5" x14ac:dyDescent="0.3">
      <c r="C69" s="125"/>
      <c r="D69" s="124"/>
      <c r="E69" s="116"/>
      <c r="F69" s="183"/>
      <c r="G69" s="183"/>
      <c r="H69" s="183"/>
      <c r="I69" s="182"/>
      <c r="J69" s="182"/>
      <c r="K69" s="182"/>
      <c r="L69" s="182"/>
      <c r="M69" s="182"/>
      <c r="N69" s="182"/>
      <c r="O69" s="182"/>
      <c r="P69" s="182"/>
    </row>
    <row r="70" spans="3:16" ht="16.5" x14ac:dyDescent="0.3">
      <c r="C70" s="126"/>
      <c r="D70" s="127"/>
      <c r="E70" s="116"/>
      <c r="F70" s="183"/>
      <c r="G70" s="183"/>
      <c r="H70" s="183"/>
      <c r="I70" s="182"/>
      <c r="J70" s="182"/>
      <c r="K70" s="182"/>
      <c r="L70" s="182"/>
      <c r="M70" s="182"/>
      <c r="N70" s="182"/>
      <c r="O70" s="182"/>
      <c r="P70" s="182"/>
    </row>
    <row r="71" spans="3:16" ht="16.5" x14ac:dyDescent="0.3">
      <c r="C71" s="125"/>
      <c r="D71" s="125"/>
      <c r="E71" s="116"/>
      <c r="F71" s="183"/>
      <c r="G71" s="183"/>
      <c r="H71" s="183"/>
      <c r="I71" s="182"/>
      <c r="J71" s="182"/>
      <c r="K71" s="182"/>
      <c r="L71" s="182"/>
      <c r="M71" s="182"/>
      <c r="N71" s="182"/>
      <c r="O71" s="182"/>
      <c r="P71" s="182"/>
    </row>
    <row r="72" spans="3:16" ht="16.5" x14ac:dyDescent="0.3">
      <c r="C72" s="118"/>
      <c r="D72" s="119"/>
      <c r="E72" s="116"/>
      <c r="F72" s="183"/>
      <c r="G72" s="183"/>
      <c r="H72" s="183"/>
      <c r="I72" s="182"/>
      <c r="J72" s="182"/>
      <c r="K72" s="182"/>
      <c r="L72" s="182"/>
      <c r="M72" s="182"/>
      <c r="N72" s="182"/>
      <c r="O72" s="182"/>
      <c r="P72" s="182"/>
    </row>
    <row r="73" spans="3:16" ht="16.5" x14ac:dyDescent="0.3">
      <c r="C73" s="7"/>
      <c r="D73" s="7"/>
    </row>
    <row r="74" spans="3:16" ht="16.5" x14ac:dyDescent="0.3">
      <c r="C74" s="7"/>
      <c r="D74" s="7"/>
    </row>
  </sheetData>
  <mergeCells count="33">
    <mergeCell ref="B3:N3"/>
    <mergeCell ref="J4:J5"/>
    <mergeCell ref="O4:O5"/>
    <mergeCell ref="B4:C5"/>
    <mergeCell ref="C41:D41"/>
    <mergeCell ref="B36:E36"/>
    <mergeCell ref="F36:N36"/>
    <mergeCell ref="D4:I4"/>
    <mergeCell ref="D14:I14"/>
    <mergeCell ref="B23:C23"/>
    <mergeCell ref="K4:N4"/>
    <mergeCell ref="C38:D38"/>
    <mergeCell ref="C42:D42"/>
    <mergeCell ref="B43:E43"/>
    <mergeCell ref="B44:D44"/>
    <mergeCell ref="C39:D39"/>
    <mergeCell ref="C40:D40"/>
    <mergeCell ref="C58:D58"/>
    <mergeCell ref="V4:AE4"/>
    <mergeCell ref="B33:J33"/>
    <mergeCell ref="B14:C15"/>
    <mergeCell ref="B11:I11"/>
    <mergeCell ref="B10:I10"/>
    <mergeCell ref="B13:C13"/>
    <mergeCell ref="J14:J15"/>
    <mergeCell ref="N14:N15"/>
    <mergeCell ref="U11:V11"/>
    <mergeCell ref="B37:D37"/>
    <mergeCell ref="R4:R5"/>
    <mergeCell ref="C56:O56"/>
    <mergeCell ref="C48:E48"/>
    <mergeCell ref="P4:P5"/>
    <mergeCell ref="Q4:Q5"/>
  </mergeCells>
  <pageMargins left="0.7" right="0.7" top="0.75" bottom="0.75" header="0.3" footer="0.3"/>
  <pageSetup orientation="portrait" verticalDpi="0"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pageSetUpPr fitToPage="1"/>
  </sheetPr>
  <dimension ref="A1:T52"/>
  <sheetViews>
    <sheetView topLeftCell="B1" zoomScale="80" zoomScaleNormal="80" workbookViewId="0">
      <selection activeCell="R34" sqref="R34"/>
    </sheetView>
  </sheetViews>
  <sheetFormatPr baseColWidth="10" defaultColWidth="9.140625" defaultRowHeight="15" outlineLevelCol="1" x14ac:dyDescent="0.25"/>
  <cols>
    <col min="2" max="2" width="58.140625" customWidth="1"/>
    <col min="3" max="3" width="11.28515625" hidden="1" customWidth="1" outlineLevel="1"/>
    <col min="4" max="8" width="8.7109375" hidden="1" customWidth="1" outlineLevel="1"/>
    <col min="9" max="9" width="40.42578125" customWidth="1" collapsed="1"/>
    <col min="10" max="10" width="9.140625" style="289" bestFit="1" customWidth="1"/>
    <col min="11" max="13" width="9.140625" bestFit="1" customWidth="1"/>
    <col min="14" max="14" width="9.140625" style="289" bestFit="1" customWidth="1"/>
    <col min="15" max="15" width="9.140625" bestFit="1" customWidth="1"/>
    <col min="16" max="16" width="10.7109375" customWidth="1"/>
  </cols>
  <sheetData>
    <row r="1" spans="1:20" x14ac:dyDescent="0.25">
      <c r="J1" s="301">
        <f>1059/I7</f>
        <v>0.26474999999999999</v>
      </c>
    </row>
    <row r="2" spans="1:20" ht="17.25" thickBot="1" x14ac:dyDescent="0.3">
      <c r="A2" s="423" t="s">
        <v>150</v>
      </c>
      <c r="B2" s="423"/>
      <c r="C2" s="423"/>
      <c r="D2" s="423"/>
      <c r="E2" s="423"/>
      <c r="F2" s="423"/>
      <c r="G2" s="423"/>
      <c r="H2" s="423"/>
      <c r="I2" s="423"/>
      <c r="J2" s="423"/>
      <c r="K2" s="423"/>
      <c r="L2" s="423"/>
      <c r="M2" s="423"/>
      <c r="N2" s="423"/>
      <c r="O2" s="423"/>
      <c r="P2" s="423"/>
    </row>
    <row r="3" spans="1:20" ht="16.5" x14ac:dyDescent="0.25">
      <c r="A3" s="452" t="s">
        <v>132</v>
      </c>
      <c r="B3" s="452"/>
      <c r="C3" s="453" t="s">
        <v>133</v>
      </c>
      <c r="D3" s="453"/>
      <c r="E3" s="453"/>
      <c r="F3" s="453"/>
      <c r="G3" s="453"/>
      <c r="H3" s="453"/>
      <c r="I3" s="445" t="s">
        <v>157</v>
      </c>
      <c r="J3" s="445" t="s">
        <v>147</v>
      </c>
      <c r="K3" s="445"/>
      <c r="L3" s="445"/>
      <c r="M3" s="445"/>
      <c r="N3" s="446" t="s">
        <v>161</v>
      </c>
      <c r="O3" s="454" t="s">
        <v>160</v>
      </c>
      <c r="P3" s="456" t="s">
        <v>282</v>
      </c>
    </row>
    <row r="4" spans="1:20" ht="16.5" x14ac:dyDescent="0.25">
      <c r="A4" s="452"/>
      <c r="B4" s="452"/>
      <c r="C4" s="128" t="s">
        <v>151</v>
      </c>
      <c r="D4" s="128" t="s">
        <v>152</v>
      </c>
      <c r="E4" s="128" t="s">
        <v>153</v>
      </c>
      <c r="F4" s="128" t="s">
        <v>154</v>
      </c>
      <c r="G4" s="109" t="s">
        <v>155</v>
      </c>
      <c r="H4" s="154" t="s">
        <v>156</v>
      </c>
      <c r="I4" s="445"/>
      <c r="J4" s="302" t="s">
        <v>134</v>
      </c>
      <c r="K4" s="189" t="s">
        <v>135</v>
      </c>
      <c r="L4" s="189" t="s">
        <v>158</v>
      </c>
      <c r="M4" s="189" t="s">
        <v>159</v>
      </c>
      <c r="N4" s="446"/>
      <c r="O4" s="455"/>
      <c r="P4" s="457"/>
    </row>
    <row r="5" spans="1:20" ht="27" customHeight="1" x14ac:dyDescent="0.3">
      <c r="A5" s="5">
        <v>1</v>
      </c>
      <c r="B5" s="129" t="s">
        <v>274</v>
      </c>
      <c r="C5" s="138"/>
      <c r="D5" s="138"/>
      <c r="E5" s="138"/>
      <c r="F5" s="138"/>
      <c r="G5" s="138"/>
      <c r="H5" s="185"/>
      <c r="I5" s="218" t="s">
        <v>275</v>
      </c>
      <c r="J5" s="302">
        <f>venituri!K10*40%</f>
        <v>0</v>
      </c>
      <c r="K5" s="201">
        <f>50%*venituri!L8</f>
        <v>10000</v>
      </c>
      <c r="L5" s="201">
        <f>50%*venituri!M8</f>
        <v>20000</v>
      </c>
      <c r="M5" s="201">
        <f>50%*venituri!N8</f>
        <v>10000</v>
      </c>
      <c r="N5" s="290">
        <f>50%*venituri!O8</f>
        <v>40000</v>
      </c>
      <c r="O5" s="201">
        <f>50%*venituri!P8</f>
        <v>40000</v>
      </c>
      <c r="P5" s="201">
        <f>50%*venituri!Q8</f>
        <v>40000</v>
      </c>
      <c r="Q5" s="260"/>
    </row>
    <row r="6" spans="1:20" ht="19.5" customHeight="1" x14ac:dyDescent="0.3">
      <c r="A6" s="5">
        <v>2</v>
      </c>
      <c r="B6" s="130" t="s">
        <v>276</v>
      </c>
      <c r="C6" s="138"/>
      <c r="D6" s="138"/>
      <c r="E6" s="138"/>
      <c r="F6" s="138"/>
      <c r="G6" s="138"/>
      <c r="H6" s="185"/>
      <c r="I6" s="218" t="s">
        <v>277</v>
      </c>
      <c r="J6" s="302">
        <f>2%*venituri!K10</f>
        <v>0</v>
      </c>
      <c r="K6" s="201">
        <f>30%*(venituri!L6+venituri!L7)</f>
        <v>10800</v>
      </c>
      <c r="L6" s="201">
        <f>30%*(venituri!M6+venituri!M7)</f>
        <v>12000</v>
      </c>
      <c r="M6" s="201">
        <f>30%*(venituri!N6+venituri!N7)</f>
        <v>7200</v>
      </c>
      <c r="N6" s="290">
        <f>30%*(venituri!O6+venituri!O7)</f>
        <v>30000</v>
      </c>
      <c r="O6" s="201">
        <f>30%*(venituri!P6+venituri!P7)</f>
        <v>57600</v>
      </c>
      <c r="P6" s="201">
        <f>30%*(venituri!Q6+venituri!Q7)</f>
        <v>76800</v>
      </c>
      <c r="Q6" s="260"/>
    </row>
    <row r="7" spans="1:20" ht="47.1" customHeight="1" x14ac:dyDescent="0.3">
      <c r="A7" s="5">
        <v>3</v>
      </c>
      <c r="B7" s="131" t="s">
        <v>269</v>
      </c>
      <c r="C7" s="102">
        <v>1</v>
      </c>
      <c r="D7" s="102">
        <v>2</v>
      </c>
      <c r="E7" s="102">
        <v>2</v>
      </c>
      <c r="F7" s="102">
        <v>2</v>
      </c>
      <c r="G7" s="102">
        <v>2</v>
      </c>
      <c r="H7" s="186">
        <v>2</v>
      </c>
      <c r="I7" s="3">
        <v>4000</v>
      </c>
      <c r="J7" s="291">
        <f>(C7*$I$7*3)</f>
        <v>12000</v>
      </c>
      <c r="K7" s="3">
        <f>3*D7*$I$7</f>
        <v>24000</v>
      </c>
      <c r="L7" s="3">
        <f>3*E7*$I$7</f>
        <v>24000</v>
      </c>
      <c r="M7" s="3">
        <f>3*F7*I7</f>
        <v>24000</v>
      </c>
      <c r="N7" s="291">
        <f>SUM(J7:M7)</f>
        <v>84000</v>
      </c>
      <c r="O7" s="3">
        <f>4000*2*12</f>
        <v>96000</v>
      </c>
      <c r="P7" s="3">
        <f>O7</f>
        <v>96000</v>
      </c>
      <c r="Q7" s="260"/>
      <c r="T7" s="258">
        <f>I7*57.2%</f>
        <v>2288.0000000000005</v>
      </c>
    </row>
    <row r="8" spans="1:20" ht="21.95" customHeight="1" x14ac:dyDescent="0.3">
      <c r="A8" s="5">
        <v>4</v>
      </c>
      <c r="B8" s="135" t="s">
        <v>278</v>
      </c>
      <c r="C8" s="102"/>
      <c r="D8" s="102"/>
      <c r="E8" s="102"/>
      <c r="F8" s="102"/>
      <c r="G8" s="102"/>
      <c r="H8" s="186"/>
      <c r="I8" s="3" t="s">
        <v>279</v>
      </c>
      <c r="J8" s="291">
        <v>0</v>
      </c>
      <c r="K8" s="3">
        <f>400*3</f>
        <v>1200</v>
      </c>
      <c r="L8" s="3">
        <f t="shared" ref="L8:M8" si="0">400*3</f>
        <v>1200</v>
      </c>
      <c r="M8" s="3">
        <f t="shared" si="0"/>
        <v>1200</v>
      </c>
      <c r="N8" s="291">
        <f>SUM(J8:M8)</f>
        <v>3600</v>
      </c>
      <c r="O8" s="3">
        <f>400*12</f>
        <v>4800</v>
      </c>
      <c r="P8" s="3">
        <f>O8</f>
        <v>4800</v>
      </c>
      <c r="T8" s="258">
        <f>I7-T7</f>
        <v>1711.9999999999995</v>
      </c>
    </row>
    <row r="9" spans="1:20" ht="21" customHeight="1" x14ac:dyDescent="0.3">
      <c r="A9" s="5">
        <v>5</v>
      </c>
      <c r="B9" s="132" t="s">
        <v>136</v>
      </c>
      <c r="C9" s="102"/>
      <c r="D9" s="102"/>
      <c r="E9" s="102"/>
      <c r="F9" s="102"/>
      <c r="G9" s="102"/>
      <c r="H9" s="186"/>
      <c r="I9" s="3" t="s">
        <v>178</v>
      </c>
      <c r="J9" s="291">
        <v>0</v>
      </c>
      <c r="K9" s="3"/>
      <c r="L9" s="3"/>
      <c r="M9" s="3"/>
      <c r="N9" s="291"/>
      <c r="O9" s="3"/>
      <c r="P9" s="3"/>
    </row>
    <row r="10" spans="1:20" ht="21" customHeight="1" x14ac:dyDescent="0.3">
      <c r="A10" s="5">
        <v>7</v>
      </c>
      <c r="B10" s="132" t="s">
        <v>273</v>
      </c>
      <c r="C10" s="102"/>
      <c r="D10" s="102"/>
      <c r="E10" s="102"/>
      <c r="F10" s="102"/>
      <c r="G10" s="102"/>
      <c r="H10" s="186"/>
      <c r="I10" s="3" t="s">
        <v>272</v>
      </c>
      <c r="J10" s="291">
        <v>0</v>
      </c>
      <c r="K10" s="3">
        <f>1500*3</f>
        <v>4500</v>
      </c>
      <c r="L10" s="3">
        <f>K10</f>
        <v>4500</v>
      </c>
      <c r="M10" s="3">
        <f>L10</f>
        <v>4500</v>
      </c>
      <c r="N10" s="291">
        <f>SUM(J10:M10)</f>
        <v>13500</v>
      </c>
      <c r="O10" s="3">
        <f>1500*12</f>
        <v>18000</v>
      </c>
      <c r="P10" s="3">
        <f>O10</f>
        <v>18000</v>
      </c>
    </row>
    <row r="11" spans="1:20" ht="20.100000000000001" customHeight="1" x14ac:dyDescent="0.3">
      <c r="A11" s="5">
        <v>8</v>
      </c>
      <c r="B11" s="132" t="s">
        <v>137</v>
      </c>
      <c r="C11" s="102"/>
      <c r="D11" s="102"/>
      <c r="E11" s="102"/>
      <c r="F11" s="102"/>
      <c r="G11" s="102"/>
      <c r="H11" s="186"/>
      <c r="I11" s="3"/>
      <c r="J11" s="291"/>
      <c r="K11" s="3"/>
      <c r="L11" s="3"/>
      <c r="M11" s="5"/>
      <c r="N11" s="291"/>
      <c r="O11" s="3"/>
      <c r="P11" s="3"/>
    </row>
    <row r="12" spans="1:20" ht="14.45" customHeight="1" x14ac:dyDescent="0.3">
      <c r="A12" s="5"/>
      <c r="B12" s="133" t="s">
        <v>138</v>
      </c>
      <c r="C12" s="101"/>
      <c r="D12" s="101"/>
      <c r="E12" s="101"/>
      <c r="F12" s="101"/>
      <c r="G12" s="101"/>
      <c r="H12" s="187"/>
      <c r="I12" s="3"/>
      <c r="J12" s="292">
        <f>SUM(J5:J11)</f>
        <v>12000</v>
      </c>
      <c r="K12" s="148">
        <f t="shared" ref="K12:P12" si="1">SUM(K5:K11)</f>
        <v>50500</v>
      </c>
      <c r="L12" s="148">
        <f t="shared" si="1"/>
        <v>61700</v>
      </c>
      <c r="M12" s="148">
        <f t="shared" si="1"/>
        <v>46900</v>
      </c>
      <c r="N12" s="292">
        <f t="shared" si="1"/>
        <v>171100</v>
      </c>
      <c r="O12" s="148">
        <f t="shared" si="1"/>
        <v>216400</v>
      </c>
      <c r="P12" s="148">
        <f t="shared" si="1"/>
        <v>235600</v>
      </c>
    </row>
    <row r="13" spans="1:20" ht="16.5" x14ac:dyDescent="0.25">
      <c r="A13" s="448" t="s">
        <v>139</v>
      </c>
      <c r="B13" s="449"/>
      <c r="C13" s="139"/>
      <c r="D13" s="139"/>
      <c r="E13" s="139"/>
      <c r="F13" s="139"/>
      <c r="G13" s="139"/>
      <c r="H13" s="139"/>
      <c r="I13" s="88"/>
      <c r="J13" s="293"/>
      <c r="K13" s="88"/>
      <c r="L13" s="88"/>
      <c r="M13" s="88"/>
      <c r="N13" s="293"/>
      <c r="O13" s="88"/>
      <c r="P13" s="88"/>
    </row>
    <row r="14" spans="1:20" ht="45.95" customHeight="1" x14ac:dyDescent="0.3">
      <c r="A14" s="5">
        <v>1</v>
      </c>
      <c r="B14" s="132" t="s">
        <v>179</v>
      </c>
      <c r="C14" s="103"/>
      <c r="D14" s="103"/>
      <c r="E14" s="103"/>
      <c r="F14" s="103"/>
      <c r="G14" s="103"/>
      <c r="H14" s="188"/>
      <c r="I14" s="219" t="s">
        <v>283</v>
      </c>
      <c r="J14" s="291">
        <f>investitia!E51+ 1875</f>
        <v>2875</v>
      </c>
      <c r="K14" s="3">
        <f>(2500*3)/4</f>
        <v>1875</v>
      </c>
      <c r="L14" s="3">
        <f>K14</f>
        <v>1875</v>
      </c>
      <c r="M14" s="3">
        <f>L14</f>
        <v>1875</v>
      </c>
      <c r="N14" s="291">
        <f>SUM(J14:M14)</f>
        <v>8500</v>
      </c>
      <c r="O14" s="3">
        <f>400*12</f>
        <v>4800</v>
      </c>
      <c r="P14" s="3">
        <f>400*12</f>
        <v>4800</v>
      </c>
    </row>
    <row r="15" spans="1:20" ht="16.5" x14ac:dyDescent="0.3">
      <c r="A15" s="5">
        <v>2</v>
      </c>
      <c r="B15" s="132" t="s">
        <v>180</v>
      </c>
      <c r="C15" s="100"/>
      <c r="D15" s="100"/>
      <c r="E15" s="100"/>
      <c r="F15" s="100"/>
      <c r="G15" s="100"/>
      <c r="H15" s="187"/>
      <c r="I15" s="3" t="s">
        <v>185</v>
      </c>
      <c r="J15" s="291"/>
      <c r="K15" s="3"/>
      <c r="L15" s="3"/>
      <c r="M15" s="3"/>
      <c r="N15" s="291"/>
      <c r="O15" s="3"/>
      <c r="P15" s="3"/>
    </row>
    <row r="16" spans="1:20" ht="16.5" x14ac:dyDescent="0.3">
      <c r="A16" s="5">
        <v>3</v>
      </c>
      <c r="B16" s="132" t="s">
        <v>181</v>
      </c>
      <c r="C16" s="100"/>
      <c r="D16" s="100"/>
      <c r="E16" s="100"/>
      <c r="F16" s="100"/>
      <c r="G16" s="100"/>
      <c r="H16" s="187"/>
      <c r="I16" s="3" t="s">
        <v>186</v>
      </c>
      <c r="J16" s="291"/>
      <c r="K16" s="3"/>
      <c r="L16" s="3"/>
      <c r="M16" s="3"/>
      <c r="N16" s="291"/>
      <c r="O16" s="3"/>
      <c r="P16" s="3"/>
    </row>
    <row r="17" spans="1:18" ht="33" x14ac:dyDescent="0.3">
      <c r="A17" s="5">
        <v>4</v>
      </c>
      <c r="B17" s="134" t="s">
        <v>182</v>
      </c>
      <c r="C17" s="100"/>
      <c r="D17" s="100"/>
      <c r="E17" s="100"/>
      <c r="F17" s="100"/>
      <c r="G17" s="100"/>
      <c r="H17" s="187"/>
      <c r="I17" s="3" t="s">
        <v>183</v>
      </c>
      <c r="J17" s="291">
        <v>2000</v>
      </c>
      <c r="K17" s="3">
        <f>150*3</f>
        <v>450</v>
      </c>
      <c r="L17" s="3">
        <f>K17</f>
        <v>450</v>
      </c>
      <c r="M17" s="3">
        <v>450</v>
      </c>
      <c r="N17" s="291">
        <f>SUM(J17:M17)</f>
        <v>3350</v>
      </c>
      <c r="O17" s="3">
        <v>2000</v>
      </c>
      <c r="P17" s="3">
        <v>2000</v>
      </c>
    </row>
    <row r="18" spans="1:18" ht="33" x14ac:dyDescent="0.3">
      <c r="A18" s="5">
        <v>5</v>
      </c>
      <c r="B18" s="135" t="s">
        <v>184</v>
      </c>
      <c r="C18" s="100"/>
      <c r="D18" s="100"/>
      <c r="E18" s="100"/>
      <c r="F18" s="100"/>
      <c r="G18" s="100"/>
      <c r="H18" s="187"/>
      <c r="I18" s="219" t="s">
        <v>187</v>
      </c>
      <c r="J18" s="291"/>
      <c r="K18" s="3"/>
      <c r="L18" s="3"/>
      <c r="M18" s="3"/>
      <c r="N18" s="291"/>
      <c r="O18" s="3"/>
      <c r="P18" s="3"/>
    </row>
    <row r="19" spans="1:18" ht="33" x14ac:dyDescent="0.3">
      <c r="A19" s="5">
        <v>6</v>
      </c>
      <c r="B19" s="136" t="s">
        <v>190</v>
      </c>
      <c r="C19" s="100"/>
      <c r="D19" s="100"/>
      <c r="E19" s="100"/>
      <c r="F19" s="100"/>
      <c r="G19" s="100"/>
      <c r="H19" s="187"/>
      <c r="I19" s="3" t="s">
        <v>191</v>
      </c>
      <c r="J19" s="291">
        <f>investitia!E53</f>
        <v>1500</v>
      </c>
      <c r="K19" s="3"/>
      <c r="L19" s="3"/>
      <c r="M19" s="3"/>
      <c r="N19" s="291">
        <v>1500</v>
      </c>
      <c r="O19" s="3">
        <v>1500</v>
      </c>
      <c r="P19" s="3">
        <v>1500</v>
      </c>
    </row>
    <row r="20" spans="1:18" ht="16.5" x14ac:dyDescent="0.3">
      <c r="A20" s="5">
        <v>7</v>
      </c>
      <c r="B20" s="136" t="s">
        <v>188</v>
      </c>
      <c r="C20" s="100"/>
      <c r="D20" s="100"/>
      <c r="E20" s="100"/>
      <c r="F20" s="100"/>
      <c r="G20" s="100"/>
      <c r="H20" s="187"/>
      <c r="I20" s="3" t="s">
        <v>271</v>
      </c>
      <c r="J20" s="291">
        <v>0</v>
      </c>
      <c r="K20" s="3">
        <f>300*4.7*3</f>
        <v>4230</v>
      </c>
      <c r="L20" s="3">
        <f>K20</f>
        <v>4230</v>
      </c>
      <c r="M20" s="3">
        <f>L20</f>
        <v>4230</v>
      </c>
      <c r="N20" s="291">
        <f>SUM(J20:M20)</f>
        <v>12690</v>
      </c>
      <c r="O20" s="3">
        <f>M20*4</f>
        <v>16920</v>
      </c>
      <c r="P20" s="3">
        <f>O20</f>
        <v>16920</v>
      </c>
      <c r="Q20">
        <f>P20/12</f>
        <v>1410</v>
      </c>
    </row>
    <row r="21" spans="1:18" ht="16.5" x14ac:dyDescent="0.3">
      <c r="A21" s="5">
        <v>8</v>
      </c>
      <c r="B21" s="136" t="s">
        <v>166</v>
      </c>
      <c r="C21" s="100"/>
      <c r="D21" s="100"/>
      <c r="E21" s="100"/>
      <c r="F21" s="100"/>
      <c r="G21" s="100"/>
      <c r="H21" s="187"/>
      <c r="I21" s="3"/>
      <c r="J21" s="291"/>
      <c r="K21" s="3"/>
      <c r="L21" s="3"/>
      <c r="M21" s="3"/>
      <c r="N21" s="291"/>
      <c r="O21" s="3"/>
      <c r="P21" s="3"/>
    </row>
    <row r="22" spans="1:18" ht="16.5" x14ac:dyDescent="0.3">
      <c r="A22" s="5"/>
      <c r="B22" s="132" t="s">
        <v>168</v>
      </c>
      <c r="C22" s="100"/>
      <c r="D22" s="100"/>
      <c r="E22" s="100"/>
      <c r="F22" s="100"/>
      <c r="G22" s="100"/>
      <c r="H22" s="187"/>
      <c r="I22" s="3" t="s">
        <v>189</v>
      </c>
      <c r="J22" s="291">
        <f>investitia!N15</f>
        <v>305.55555555555554</v>
      </c>
      <c r="K22" s="291">
        <f>investitia!O15</f>
        <v>7367.8033333333324</v>
      </c>
      <c r="L22" s="291">
        <f>investitia!P15</f>
        <v>7367.8033333333324</v>
      </c>
      <c r="M22" s="291">
        <f>investitia!Q15</f>
        <v>7367.8033333333324</v>
      </c>
      <c r="N22" s="291">
        <f>investitia!R15</f>
        <v>22408.965555555551</v>
      </c>
      <c r="O22" s="291">
        <f>investitia!S15</f>
        <v>29471.21333333333</v>
      </c>
      <c r="P22" s="291">
        <f>investitia!T15</f>
        <v>29471.21333333333</v>
      </c>
    </row>
    <row r="23" spans="1:18" ht="33" x14ac:dyDescent="0.3">
      <c r="A23" s="5">
        <v>9</v>
      </c>
      <c r="B23" s="132" t="s">
        <v>172</v>
      </c>
      <c r="C23" s="100"/>
      <c r="D23" s="100"/>
      <c r="E23" s="100"/>
      <c r="F23" s="100"/>
      <c r="G23" s="100"/>
      <c r="H23" s="187"/>
      <c r="I23" s="219" t="s">
        <v>192</v>
      </c>
      <c r="J23" s="291">
        <f>investitia!E52+investitia!E47+investitia!E39</f>
        <v>7700</v>
      </c>
      <c r="K23" s="3"/>
      <c r="L23" s="3"/>
      <c r="M23" s="3"/>
      <c r="N23" s="291"/>
      <c r="O23" s="3"/>
      <c r="P23" s="3"/>
    </row>
    <row r="24" spans="1:18" ht="17.25" thickBot="1" x14ac:dyDescent="0.35">
      <c r="A24" s="191"/>
      <c r="B24" s="192" t="s">
        <v>140</v>
      </c>
      <c r="C24" s="193"/>
      <c r="D24" s="193"/>
      <c r="E24" s="193"/>
      <c r="F24" s="193"/>
      <c r="G24" s="193"/>
      <c r="H24" s="194"/>
      <c r="I24" s="195"/>
      <c r="J24" s="294">
        <f t="shared" ref="J24:P24" si="2">SUM(J14:J23)</f>
        <v>14380.555555555555</v>
      </c>
      <c r="K24" s="196">
        <f t="shared" si="2"/>
        <v>13922.803333333333</v>
      </c>
      <c r="L24" s="196">
        <f t="shared" si="2"/>
        <v>13922.803333333333</v>
      </c>
      <c r="M24" s="196">
        <f t="shared" si="2"/>
        <v>13922.803333333333</v>
      </c>
      <c r="N24" s="294">
        <f t="shared" si="2"/>
        <v>48448.965555555551</v>
      </c>
      <c r="O24" s="196">
        <f t="shared" si="2"/>
        <v>54691.213333333333</v>
      </c>
      <c r="P24" s="196">
        <f t="shared" si="2"/>
        <v>54691.213333333333</v>
      </c>
    </row>
    <row r="25" spans="1:18" ht="17.25" thickBot="1" x14ac:dyDescent="0.3">
      <c r="A25" s="450" t="s">
        <v>0</v>
      </c>
      <c r="B25" s="451"/>
      <c r="C25" s="451"/>
      <c r="D25" s="451"/>
      <c r="E25" s="451"/>
      <c r="F25" s="451"/>
      <c r="G25" s="451"/>
      <c r="H25" s="451"/>
      <c r="I25" s="451"/>
      <c r="J25" s="295">
        <f t="shared" ref="J25:P25" si="3">J12+J24</f>
        <v>26380.555555555555</v>
      </c>
      <c r="K25" s="197">
        <f t="shared" si="3"/>
        <v>64422.80333333333</v>
      </c>
      <c r="L25" s="197">
        <f t="shared" si="3"/>
        <v>75622.80333333333</v>
      </c>
      <c r="M25" s="197">
        <f t="shared" si="3"/>
        <v>60822.80333333333</v>
      </c>
      <c r="N25" s="295">
        <f t="shared" si="3"/>
        <v>219548.96555555554</v>
      </c>
      <c r="O25" s="197">
        <f t="shared" si="3"/>
        <v>271091.21333333332</v>
      </c>
      <c r="P25" s="198">
        <f t="shared" si="3"/>
        <v>290291.21333333332</v>
      </c>
      <c r="R25" s="190">
        <f>N25+O25+P25</f>
        <v>780931.39222222217</v>
      </c>
    </row>
    <row r="26" spans="1:18" ht="16.5" x14ac:dyDescent="0.3">
      <c r="A26" s="111"/>
      <c r="B26" s="111"/>
      <c r="C26" s="111"/>
      <c r="D26" s="111"/>
      <c r="E26" s="111"/>
      <c r="F26" s="111"/>
      <c r="G26" s="111"/>
      <c r="H26" s="111"/>
      <c r="I26" s="111"/>
      <c r="J26" s="300"/>
      <c r="K26" s="111"/>
      <c r="L26" s="111"/>
      <c r="M26" s="112"/>
      <c r="N26" s="296"/>
      <c r="O26" s="112"/>
      <c r="P26" s="112"/>
    </row>
    <row r="27" spans="1:18" ht="16.5" x14ac:dyDescent="0.3">
      <c r="A27" s="111"/>
      <c r="B27" s="111"/>
      <c r="C27" s="111"/>
      <c r="D27" s="111"/>
      <c r="E27" s="111"/>
      <c r="F27" s="111"/>
      <c r="G27" s="111"/>
      <c r="H27" s="111"/>
      <c r="I27" s="111"/>
      <c r="J27" s="300"/>
      <c r="K27" s="111"/>
      <c r="L27" s="111"/>
      <c r="M27" s="112"/>
      <c r="N27" s="296"/>
      <c r="O27" s="112"/>
      <c r="P27" s="112"/>
    </row>
    <row r="28" spans="1:18" ht="16.5" x14ac:dyDescent="0.3">
      <c r="A28" s="425"/>
      <c r="B28" s="425"/>
      <c r="C28" s="425"/>
      <c r="D28" s="425"/>
      <c r="E28" s="176"/>
      <c r="F28" s="176"/>
      <c r="G28" s="176"/>
      <c r="H28" s="176"/>
      <c r="I28" s="176"/>
      <c r="J28" s="297"/>
      <c r="K28" s="176"/>
      <c r="L28" s="176"/>
      <c r="M28" s="176" t="s">
        <v>289</v>
      </c>
      <c r="N28" s="297" t="s">
        <v>290</v>
      </c>
      <c r="O28" s="176" t="s">
        <v>310</v>
      </c>
      <c r="P28" s="112"/>
    </row>
    <row r="29" spans="1:18" ht="14.45" customHeight="1" x14ac:dyDescent="0.25">
      <c r="A29" s="176"/>
      <c r="B29" s="221" t="str">
        <f>B12</f>
        <v>Total cheltuieli directe</v>
      </c>
      <c r="C29" s="221"/>
      <c r="D29" s="222"/>
      <c r="E29" s="223"/>
      <c r="F29" s="224"/>
      <c r="G29" s="224"/>
      <c r="H29" s="224"/>
      <c r="I29" s="225"/>
      <c r="J29" s="298"/>
      <c r="K29" s="225"/>
      <c r="L29" s="225" t="s">
        <v>311</v>
      </c>
      <c r="M29" s="225">
        <f t="shared" ref="M29:P29" si="4">N12</f>
        <v>171100</v>
      </c>
      <c r="N29" s="298">
        <f t="shared" si="4"/>
        <v>216400</v>
      </c>
      <c r="O29" s="225">
        <f t="shared" si="4"/>
        <v>235600</v>
      </c>
      <c r="P29" s="220">
        <f t="shared" si="4"/>
        <v>0</v>
      </c>
    </row>
    <row r="30" spans="1:18" ht="25.5" x14ac:dyDescent="0.25">
      <c r="A30" s="111"/>
      <c r="B30" s="447" t="str">
        <f>B24</f>
        <v xml:space="preserve">Total cheltuieli indirecte </v>
      </c>
      <c r="C30" s="447"/>
      <c r="D30" s="226"/>
      <c r="E30" s="227"/>
      <c r="F30" s="227"/>
      <c r="G30" s="227"/>
      <c r="H30" s="227"/>
      <c r="I30" s="226"/>
      <c r="J30" s="299"/>
      <c r="K30" s="226"/>
      <c r="L30" s="226" t="s">
        <v>312</v>
      </c>
      <c r="M30" s="226">
        <f t="shared" ref="M30:P30" si="5">N24</f>
        <v>48448.965555555551</v>
      </c>
      <c r="N30" s="299">
        <f t="shared" si="5"/>
        <v>54691.213333333333</v>
      </c>
      <c r="O30" s="226">
        <f t="shared" si="5"/>
        <v>54691.213333333333</v>
      </c>
      <c r="P30" s="180">
        <f t="shared" si="5"/>
        <v>0</v>
      </c>
    </row>
    <row r="31" spans="1:18" ht="16.5" x14ac:dyDescent="0.25">
      <c r="A31" s="111"/>
      <c r="B31" s="447" t="str">
        <f>A25</f>
        <v>TOTAL CHELTUIELI</v>
      </c>
      <c r="C31" s="447"/>
      <c r="D31" s="226"/>
      <c r="E31" s="226"/>
      <c r="F31" s="226"/>
      <c r="G31" s="226"/>
      <c r="H31" s="226"/>
      <c r="I31" s="226"/>
      <c r="J31" s="299"/>
      <c r="K31" s="226"/>
      <c r="L31" s="226"/>
      <c r="M31" s="226">
        <f t="shared" ref="M31:P31" si="6">N25</f>
        <v>219548.96555555554</v>
      </c>
      <c r="N31" s="299">
        <f t="shared" si="6"/>
        <v>271091.21333333332</v>
      </c>
      <c r="O31" s="226">
        <f t="shared" si="6"/>
        <v>290291.21333333332</v>
      </c>
      <c r="P31" s="111">
        <f t="shared" si="6"/>
        <v>0</v>
      </c>
    </row>
    <row r="32" spans="1:18" ht="16.5" x14ac:dyDescent="0.3">
      <c r="A32" s="111"/>
      <c r="B32" s="431"/>
      <c r="C32" s="431"/>
      <c r="D32" s="111"/>
      <c r="E32" s="111"/>
      <c r="F32" s="111"/>
      <c r="G32" s="111"/>
      <c r="H32" s="111"/>
      <c r="I32" s="111"/>
      <c r="J32" s="300"/>
      <c r="K32" s="111"/>
      <c r="L32" s="111"/>
      <c r="M32" s="111"/>
      <c r="N32" s="296"/>
      <c r="O32" s="112"/>
      <c r="P32" s="112"/>
    </row>
    <row r="33" spans="1:16" ht="16.5" x14ac:dyDescent="0.3">
      <c r="A33" s="111"/>
      <c r="B33" s="431"/>
      <c r="C33" s="431"/>
      <c r="D33" s="111"/>
      <c r="E33" s="111"/>
      <c r="F33" s="111"/>
      <c r="G33" s="111"/>
      <c r="H33" s="111"/>
      <c r="I33" s="111"/>
      <c r="J33" s="300"/>
      <c r="K33" s="111"/>
      <c r="L33" s="111"/>
      <c r="M33" s="111"/>
      <c r="N33" s="296"/>
      <c r="O33" s="112"/>
      <c r="P33" s="112"/>
    </row>
    <row r="34" spans="1:16" ht="16.5" x14ac:dyDescent="0.3">
      <c r="A34" s="111"/>
      <c r="B34" s="431"/>
      <c r="C34" s="431"/>
      <c r="D34" s="111"/>
      <c r="E34" s="111"/>
      <c r="F34" s="111"/>
      <c r="G34" s="111"/>
      <c r="H34" s="111"/>
      <c r="I34" s="111"/>
      <c r="J34" s="300"/>
      <c r="K34" s="111"/>
      <c r="L34" s="111"/>
      <c r="M34" s="111"/>
      <c r="N34" s="296"/>
      <c r="O34" s="112"/>
      <c r="P34" s="112"/>
    </row>
    <row r="35" spans="1:16" ht="16.5" x14ac:dyDescent="0.3">
      <c r="A35" s="176"/>
      <c r="B35" s="176"/>
      <c r="C35" s="176"/>
      <c r="D35" s="176"/>
      <c r="E35" s="111"/>
      <c r="F35" s="111"/>
      <c r="G35" s="111"/>
      <c r="H35" s="111"/>
      <c r="I35" s="111"/>
      <c r="J35" s="300"/>
      <c r="K35" s="111"/>
      <c r="L35" s="111"/>
      <c r="M35" s="111"/>
      <c r="N35" s="296"/>
      <c r="O35" s="112"/>
      <c r="P35" s="112"/>
    </row>
    <row r="36" spans="1:16" ht="16.5" x14ac:dyDescent="0.3">
      <c r="A36" s="176"/>
      <c r="B36" s="176"/>
      <c r="C36" s="176" t="s">
        <v>147</v>
      </c>
      <c r="D36" s="176" t="s">
        <v>305</v>
      </c>
      <c r="E36" s="176" t="s">
        <v>282</v>
      </c>
      <c r="F36" s="111"/>
      <c r="G36" s="111"/>
      <c r="H36" s="111"/>
      <c r="I36" s="111"/>
      <c r="J36" s="300"/>
      <c r="K36" s="111"/>
      <c r="L36" s="111"/>
      <c r="M36" s="111"/>
      <c r="N36" s="300"/>
      <c r="O36" s="112"/>
      <c r="P36" s="112"/>
    </row>
    <row r="37" spans="1:16" ht="16.5" x14ac:dyDescent="0.3">
      <c r="A37" s="111"/>
      <c r="B37" s="221" t="s">
        <v>306</v>
      </c>
      <c r="C37" s="221">
        <f>M29</f>
        <v>171100</v>
      </c>
      <c r="D37" s="221">
        <f t="shared" ref="D37:E39" si="7">N29</f>
        <v>216400</v>
      </c>
      <c r="E37" s="221">
        <f t="shared" si="7"/>
        <v>235600</v>
      </c>
      <c r="F37" s="111"/>
      <c r="G37" s="111"/>
      <c r="H37" s="111"/>
      <c r="I37" s="111"/>
      <c r="J37" s="300"/>
      <c r="K37" s="111"/>
      <c r="L37" s="111"/>
      <c r="M37" s="112"/>
      <c r="N37" s="296"/>
      <c r="O37" s="112"/>
      <c r="P37" s="112"/>
    </row>
    <row r="38" spans="1:16" ht="16.5" x14ac:dyDescent="0.3">
      <c r="A38" s="111"/>
      <c r="B38" s="265" t="s">
        <v>307</v>
      </c>
      <c r="C38" s="221">
        <f t="shared" ref="C38:C39" si="8">M30</f>
        <v>48448.965555555551</v>
      </c>
      <c r="D38" s="221">
        <f t="shared" si="7"/>
        <v>54691.213333333333</v>
      </c>
      <c r="E38" s="221">
        <f t="shared" si="7"/>
        <v>54691.213333333333</v>
      </c>
      <c r="F38" s="111"/>
      <c r="G38" s="111"/>
      <c r="H38" s="111"/>
      <c r="I38" s="111"/>
      <c r="J38" s="300"/>
      <c r="K38" s="111"/>
      <c r="L38" s="111"/>
      <c r="M38" s="112"/>
      <c r="N38" s="296"/>
      <c r="O38" s="112"/>
      <c r="P38" s="112"/>
    </row>
    <row r="39" spans="1:16" x14ac:dyDescent="0.25">
      <c r="B39" s="265" t="s">
        <v>308</v>
      </c>
      <c r="C39" s="221">
        <f t="shared" si="8"/>
        <v>219548.96555555554</v>
      </c>
      <c r="D39" s="221">
        <f t="shared" si="7"/>
        <v>271091.21333333332</v>
      </c>
      <c r="E39" s="221">
        <f t="shared" si="7"/>
        <v>290291.21333333332</v>
      </c>
    </row>
    <row r="48" spans="1:16" x14ac:dyDescent="0.25">
      <c r="I48" s="289"/>
      <c r="K48" s="289"/>
      <c r="L48" s="289"/>
      <c r="M48" s="289"/>
      <c r="O48" s="289"/>
    </row>
    <row r="49" spans="9:15" x14ac:dyDescent="0.25">
      <c r="I49" s="289"/>
      <c r="K49" s="289"/>
      <c r="L49" s="289"/>
      <c r="M49" s="289"/>
      <c r="O49" s="289"/>
    </row>
    <row r="50" spans="9:15" x14ac:dyDescent="0.25">
      <c r="I50" s="289"/>
      <c r="K50" s="289"/>
      <c r="L50" s="289"/>
      <c r="M50" s="289"/>
      <c r="O50" s="289"/>
    </row>
    <row r="51" spans="9:15" x14ac:dyDescent="0.25">
      <c r="I51" s="289"/>
      <c r="K51" s="289"/>
      <c r="L51" s="289"/>
      <c r="M51" s="289"/>
      <c r="O51" s="289"/>
    </row>
    <row r="52" spans="9:15" x14ac:dyDescent="0.25">
      <c r="I52" s="289"/>
      <c r="K52" s="289"/>
      <c r="L52" s="289"/>
      <c r="M52" s="289"/>
      <c r="O52" s="289"/>
    </row>
  </sheetData>
  <mergeCells count="16">
    <mergeCell ref="B32:C32"/>
    <mergeCell ref="B33:C33"/>
    <mergeCell ref="B34:C34"/>
    <mergeCell ref="A2:P2"/>
    <mergeCell ref="J3:M3"/>
    <mergeCell ref="N3:N4"/>
    <mergeCell ref="B31:C31"/>
    <mergeCell ref="A13:B13"/>
    <mergeCell ref="A25:I25"/>
    <mergeCell ref="A28:D28"/>
    <mergeCell ref="B30:C30"/>
    <mergeCell ref="A3:B4"/>
    <mergeCell ref="C3:H3"/>
    <mergeCell ref="I3:I4"/>
    <mergeCell ref="O3:O4"/>
    <mergeCell ref="P3:P4"/>
  </mergeCells>
  <pageMargins left="0.7" right="0.7" top="0.75" bottom="0.75" header="0.3" footer="0.3"/>
  <pageSetup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7</vt:i4>
      </vt:variant>
      <vt:variant>
        <vt:lpstr>Rangos con nombre</vt:lpstr>
      </vt:variant>
      <vt:variant>
        <vt:i4>1</vt:i4>
      </vt:variant>
    </vt:vector>
  </HeadingPairs>
  <TitlesOfParts>
    <vt:vector size="8" baseType="lpstr">
      <vt:lpstr>FN - diasp</vt:lpstr>
      <vt:lpstr>SCV - diasp</vt:lpstr>
      <vt:lpstr>buget grant</vt:lpstr>
      <vt:lpstr>an 1</vt:lpstr>
      <vt:lpstr>investitia</vt:lpstr>
      <vt:lpstr>venituri</vt:lpstr>
      <vt:lpstr>cheltuieli</vt:lpstr>
      <vt:lpstr>cheltuieli!Área_de_impresión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ElenaMiron</dc:creator>
  <cp:lastModifiedBy>Dan</cp:lastModifiedBy>
  <cp:lastPrinted>2018-06-29T18:48:12Z</cp:lastPrinted>
  <dcterms:created xsi:type="dcterms:W3CDTF">2018-03-15T20:08:52Z</dcterms:created>
  <dcterms:modified xsi:type="dcterms:W3CDTF">2019-03-13T11:06:33Z</dcterms:modified>
</cp:coreProperties>
</file>